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ros\Documents\Cardinal ST\Cardinal 2025\2025 Financials\"/>
    </mc:Choice>
  </mc:AlternateContent>
  <xr:revisionPtr revIDLastSave="0" documentId="13_ncr:1_{8151255A-CA8B-49BA-9A7F-CE1FF4435064}" xr6:coauthVersionLast="47" xr6:coauthVersionMax="47" xr10:uidLastSave="{00000000-0000-0000-0000-000000000000}"/>
  <bookViews>
    <workbookView xWindow="252" yWindow="600" windowWidth="24396" windowHeight="13836" activeTab="3" xr2:uid="{00000000-000D-0000-FFFF-FFFF00000000}"/>
  </bookViews>
  <sheets>
    <sheet name="Bal Sheet 3 Year Compare" sheetId="3" r:id="rId1"/>
    <sheet name="P&amp;L 3 Year Compare" sheetId="2" r:id="rId2"/>
    <sheet name="2025 Monthly Profit and Loss" sheetId="1" r:id="rId3"/>
    <sheet name="2025 Cash Flow" sheetId="4" r:id="rId4"/>
  </sheets>
  <calcPr calcId="191029"/>
</workbook>
</file>

<file path=xl/calcChain.xml><?xml version="1.0" encoding="utf-8"?>
<calcChain xmlns="http://schemas.openxmlformats.org/spreadsheetml/2006/main">
  <c r="B25" i="4" l="1"/>
  <c r="C25" i="4"/>
  <c r="C29" i="4"/>
  <c r="C19" i="4"/>
  <c r="C20" i="4" s="1"/>
  <c r="B19" i="4"/>
  <c r="B20" i="4" s="1"/>
  <c r="B29" i="4"/>
  <c r="B12" i="3"/>
  <c r="C12" i="3"/>
  <c r="D12" i="3"/>
  <c r="B15" i="3"/>
  <c r="C15" i="3"/>
  <c r="D15" i="3"/>
  <c r="B19" i="3"/>
  <c r="C19" i="3"/>
  <c r="D19" i="3"/>
  <c r="B20" i="3"/>
  <c r="C20" i="3"/>
  <c r="D20" i="3"/>
  <c r="D57" i="3" s="1"/>
  <c r="B26" i="3"/>
  <c r="B36" i="3" s="1"/>
  <c r="B56" i="3" s="1"/>
  <c r="C26" i="3"/>
  <c r="C36" i="3" s="1"/>
  <c r="C56" i="3" s="1"/>
  <c r="D26" i="3"/>
  <c r="B29" i="3"/>
  <c r="C29" i="3"/>
  <c r="D29" i="3"/>
  <c r="B32" i="3"/>
  <c r="C32" i="3"/>
  <c r="D32" i="3"/>
  <c r="B35" i="3"/>
  <c r="C35" i="3"/>
  <c r="D35" i="3"/>
  <c r="D36" i="3"/>
  <c r="D56" i="3" s="1"/>
  <c r="B39" i="3"/>
  <c r="C39" i="3"/>
  <c r="D39" i="3"/>
  <c r="B43" i="3"/>
  <c r="C43" i="3"/>
  <c r="D43" i="3"/>
  <c r="B47" i="3"/>
  <c r="C47" i="3"/>
  <c r="D47" i="3"/>
  <c r="B51" i="3"/>
  <c r="C51" i="3"/>
  <c r="D51" i="3"/>
  <c r="B55" i="3"/>
  <c r="C55" i="3"/>
  <c r="D55" i="3"/>
  <c r="B63" i="3"/>
  <c r="C63" i="3"/>
  <c r="D63" i="3"/>
  <c r="D67" i="3" s="1"/>
  <c r="D71" i="3" s="1"/>
  <c r="D78" i="3" s="1"/>
  <c r="B66" i="3"/>
  <c r="C66" i="3"/>
  <c r="D66" i="3"/>
  <c r="B67" i="3"/>
  <c r="B71" i="3" s="1"/>
  <c r="B78" i="3" s="1"/>
  <c r="C67" i="3"/>
  <c r="C71" i="3" s="1"/>
  <c r="C78" i="3" s="1"/>
  <c r="B70" i="3"/>
  <c r="C70" i="3"/>
  <c r="D70" i="3"/>
  <c r="B77" i="3"/>
  <c r="C77" i="3"/>
  <c r="D77" i="3"/>
  <c r="D76" i="2"/>
  <c r="C76" i="2"/>
  <c r="B76" i="2"/>
  <c r="B22" i="2"/>
  <c r="C22" i="2"/>
  <c r="D22" i="2"/>
  <c r="B28" i="2"/>
  <c r="C28" i="2"/>
  <c r="D28" i="2"/>
  <c r="B34" i="2"/>
  <c r="C34" i="2"/>
  <c r="D34" i="2"/>
  <c r="B40" i="2"/>
  <c r="C40" i="2"/>
  <c r="D40" i="2"/>
  <c r="B47" i="2"/>
  <c r="C47" i="2"/>
  <c r="D47" i="2"/>
  <c r="B52" i="2"/>
  <c r="C52" i="2"/>
  <c r="D52" i="2"/>
  <c r="B80" i="2"/>
  <c r="C80" i="2"/>
  <c r="D80" i="2"/>
  <c r="B86" i="2"/>
  <c r="C86" i="2"/>
  <c r="D86" i="2"/>
  <c r="B87" i="2"/>
  <c r="M78" i="1"/>
  <c r="M77" i="1"/>
  <c r="N77" i="1" s="1"/>
  <c r="N76" i="1"/>
  <c r="M76" i="1"/>
  <c r="L76" i="1"/>
  <c r="K76" i="1"/>
  <c r="J76" i="1"/>
  <c r="I76" i="1"/>
  <c r="H76" i="1"/>
  <c r="G76" i="1"/>
  <c r="F76" i="1"/>
  <c r="F78" i="1" s="1"/>
  <c r="F79" i="1" s="1"/>
  <c r="E76" i="1"/>
  <c r="E78" i="1" s="1"/>
  <c r="E79" i="1" s="1"/>
  <c r="D76" i="1"/>
  <c r="D78" i="1" s="1"/>
  <c r="D79" i="1" s="1"/>
  <c r="C76" i="1"/>
  <c r="C78" i="1" s="1"/>
  <c r="C79" i="1" s="1"/>
  <c r="B76" i="1"/>
  <c r="B78" i="1" s="1"/>
  <c r="M75" i="1"/>
  <c r="N75" i="1" s="1"/>
  <c r="L75" i="1"/>
  <c r="K75" i="1"/>
  <c r="J75" i="1"/>
  <c r="I75" i="1"/>
  <c r="I78" i="1" s="1"/>
  <c r="H75" i="1"/>
  <c r="G75" i="1"/>
  <c r="G78" i="1" s="1"/>
  <c r="G79" i="1" s="1"/>
  <c r="F75" i="1"/>
  <c r="E75" i="1"/>
  <c r="D75" i="1"/>
  <c r="C75" i="1"/>
  <c r="B75" i="1"/>
  <c r="M74" i="1"/>
  <c r="L74" i="1"/>
  <c r="L78" i="1" s="1"/>
  <c r="K74" i="1"/>
  <c r="K78" i="1" s="1"/>
  <c r="J74" i="1"/>
  <c r="J78" i="1" s="1"/>
  <c r="I74" i="1"/>
  <c r="H74" i="1"/>
  <c r="H78" i="1" s="1"/>
  <c r="H79" i="1" s="1"/>
  <c r="G74" i="1"/>
  <c r="F74" i="1"/>
  <c r="E74" i="1"/>
  <c r="D74" i="1"/>
  <c r="C74" i="1"/>
  <c r="B74" i="1"/>
  <c r="M72" i="1"/>
  <c r="M79" i="1" s="1"/>
  <c r="L72" i="1"/>
  <c r="L79" i="1" s="1"/>
  <c r="K72" i="1"/>
  <c r="I72" i="1"/>
  <c r="I79" i="1" s="1"/>
  <c r="H72" i="1"/>
  <c r="G72" i="1"/>
  <c r="F72" i="1"/>
  <c r="E72" i="1"/>
  <c r="D72" i="1"/>
  <c r="C72" i="1"/>
  <c r="J71" i="1"/>
  <c r="J72" i="1" s="1"/>
  <c r="B71" i="1"/>
  <c r="B72" i="1" s="1"/>
  <c r="M68" i="1"/>
  <c r="L68" i="1"/>
  <c r="G67" i="1"/>
  <c r="N67" i="1" s="1"/>
  <c r="J66" i="1"/>
  <c r="N66" i="1" s="1"/>
  <c r="I66" i="1"/>
  <c r="H66" i="1"/>
  <c r="G66" i="1"/>
  <c r="F66" i="1"/>
  <c r="J65" i="1"/>
  <c r="H65" i="1"/>
  <c r="G65" i="1"/>
  <c r="F65" i="1"/>
  <c r="E65" i="1"/>
  <c r="N65" i="1" s="1"/>
  <c r="C64" i="1"/>
  <c r="B64" i="1"/>
  <c r="N64" i="1" s="1"/>
  <c r="N63" i="1"/>
  <c r="I63" i="1"/>
  <c r="G63" i="1"/>
  <c r="F63" i="1"/>
  <c r="H62" i="1"/>
  <c r="F62" i="1"/>
  <c r="E62" i="1"/>
  <c r="D62" i="1"/>
  <c r="N62" i="1" s="1"/>
  <c r="J61" i="1"/>
  <c r="I61" i="1"/>
  <c r="N61" i="1" s="1"/>
  <c r="M60" i="1"/>
  <c r="C60" i="1"/>
  <c r="N60" i="1" s="1"/>
  <c r="M59" i="1"/>
  <c r="L59" i="1"/>
  <c r="K59" i="1"/>
  <c r="J59" i="1"/>
  <c r="I59" i="1"/>
  <c r="H59" i="1"/>
  <c r="G59" i="1"/>
  <c r="F59" i="1"/>
  <c r="E59" i="1"/>
  <c r="E68" i="1" s="1"/>
  <c r="D59" i="1"/>
  <c r="D68" i="1" s="1"/>
  <c r="C59" i="1"/>
  <c r="C68" i="1" s="1"/>
  <c r="B59" i="1"/>
  <c r="N59" i="1" s="1"/>
  <c r="N58" i="1"/>
  <c r="H58" i="1"/>
  <c r="I57" i="1"/>
  <c r="H57" i="1"/>
  <c r="G57" i="1"/>
  <c r="F57" i="1"/>
  <c r="N57" i="1" s="1"/>
  <c r="M56" i="1"/>
  <c r="L56" i="1"/>
  <c r="K56" i="1"/>
  <c r="J56" i="1"/>
  <c r="I56" i="1"/>
  <c r="H56" i="1"/>
  <c r="G56" i="1"/>
  <c r="N56" i="1" s="1"/>
  <c r="F56" i="1"/>
  <c r="E56" i="1"/>
  <c r="D56" i="1"/>
  <c r="C56" i="1"/>
  <c r="B56" i="1"/>
  <c r="G55" i="1"/>
  <c r="C55" i="1"/>
  <c r="N55" i="1" s="1"/>
  <c r="I54" i="1"/>
  <c r="N54" i="1" s="1"/>
  <c r="K53" i="1"/>
  <c r="J53" i="1"/>
  <c r="I53" i="1"/>
  <c r="N53" i="1" s="1"/>
  <c r="H53" i="1"/>
  <c r="G53" i="1"/>
  <c r="F53" i="1"/>
  <c r="E53" i="1"/>
  <c r="D53" i="1"/>
  <c r="C53" i="1"/>
  <c r="B53" i="1"/>
  <c r="M52" i="1"/>
  <c r="L52" i="1"/>
  <c r="K52" i="1"/>
  <c r="K68" i="1" s="1"/>
  <c r="J52" i="1"/>
  <c r="I52" i="1"/>
  <c r="H52" i="1"/>
  <c r="H68" i="1" s="1"/>
  <c r="G52" i="1"/>
  <c r="G68" i="1" s="1"/>
  <c r="F52" i="1"/>
  <c r="E52" i="1"/>
  <c r="D52" i="1"/>
  <c r="C52" i="1"/>
  <c r="B52" i="1"/>
  <c r="J51" i="1"/>
  <c r="J68" i="1" s="1"/>
  <c r="I51" i="1"/>
  <c r="N51" i="1" s="1"/>
  <c r="H47" i="1"/>
  <c r="N47" i="1" s="1"/>
  <c r="M46" i="1"/>
  <c r="L46" i="1"/>
  <c r="K46" i="1"/>
  <c r="J46" i="1"/>
  <c r="F46" i="1"/>
  <c r="C46" i="1"/>
  <c r="B46" i="1"/>
  <c r="M45" i="1"/>
  <c r="L45" i="1"/>
  <c r="K45" i="1"/>
  <c r="J45" i="1"/>
  <c r="I45" i="1"/>
  <c r="N45" i="1" s="1"/>
  <c r="H45" i="1"/>
  <c r="G45" i="1"/>
  <c r="F45" i="1"/>
  <c r="E45" i="1"/>
  <c r="D45" i="1"/>
  <c r="C45" i="1"/>
  <c r="B45" i="1"/>
  <c r="M44" i="1"/>
  <c r="L44" i="1"/>
  <c r="K44" i="1"/>
  <c r="J44" i="1"/>
  <c r="I44" i="1"/>
  <c r="H44" i="1"/>
  <c r="N44" i="1" s="1"/>
  <c r="G44" i="1"/>
  <c r="F44" i="1"/>
  <c r="E44" i="1"/>
  <c r="D44" i="1"/>
  <c r="D46" i="1" s="1"/>
  <c r="N46" i="1" s="1"/>
  <c r="C44" i="1"/>
  <c r="B44" i="1"/>
  <c r="M43" i="1"/>
  <c r="L43" i="1"/>
  <c r="K43" i="1"/>
  <c r="J43" i="1"/>
  <c r="I43" i="1"/>
  <c r="I46" i="1" s="1"/>
  <c r="H43" i="1"/>
  <c r="H46" i="1" s="1"/>
  <c r="G43" i="1"/>
  <c r="G46" i="1" s="1"/>
  <c r="F43" i="1"/>
  <c r="E43" i="1"/>
  <c r="E46" i="1" s="1"/>
  <c r="D43" i="1"/>
  <c r="C43" i="1"/>
  <c r="B43" i="1"/>
  <c r="N42" i="1"/>
  <c r="L41" i="1"/>
  <c r="G41" i="1"/>
  <c r="G40" i="1"/>
  <c r="N40" i="1" s="1"/>
  <c r="M39" i="1"/>
  <c r="J39" i="1"/>
  <c r="F39" i="1"/>
  <c r="E39" i="1"/>
  <c r="D39" i="1"/>
  <c r="C39" i="1"/>
  <c r="N39" i="1" s="1"/>
  <c r="B39" i="1"/>
  <c r="M38" i="1"/>
  <c r="J38" i="1"/>
  <c r="H38" i="1"/>
  <c r="F38" i="1"/>
  <c r="E38" i="1"/>
  <c r="D38" i="1"/>
  <c r="N38" i="1" s="1"/>
  <c r="M37" i="1"/>
  <c r="M41" i="1" s="1"/>
  <c r="K37" i="1"/>
  <c r="K41" i="1" s="1"/>
  <c r="J37" i="1"/>
  <c r="J41" i="1" s="1"/>
  <c r="I37" i="1"/>
  <c r="I41" i="1" s="1"/>
  <c r="H37" i="1"/>
  <c r="N37" i="1" s="1"/>
  <c r="F37" i="1"/>
  <c r="F41" i="1" s="1"/>
  <c r="E37" i="1"/>
  <c r="E41" i="1" s="1"/>
  <c r="D37" i="1"/>
  <c r="D41" i="1" s="1"/>
  <c r="C37" i="1"/>
  <c r="C41" i="1" s="1"/>
  <c r="B37" i="1"/>
  <c r="B41" i="1" s="1"/>
  <c r="N36" i="1"/>
  <c r="M35" i="1"/>
  <c r="K35" i="1"/>
  <c r="H35" i="1"/>
  <c r="G35" i="1"/>
  <c r="G34" i="1"/>
  <c r="N34" i="1" s="1"/>
  <c r="H33" i="1"/>
  <c r="G33" i="1"/>
  <c r="F33" i="1"/>
  <c r="F35" i="1" s="1"/>
  <c r="E33" i="1"/>
  <c r="C33" i="1"/>
  <c r="N33" i="1" s="1"/>
  <c r="N32" i="1"/>
  <c r="M32" i="1"/>
  <c r="L32" i="1"/>
  <c r="J32" i="1"/>
  <c r="I32" i="1"/>
  <c r="H32" i="1"/>
  <c r="G32" i="1"/>
  <c r="E32" i="1"/>
  <c r="E35" i="1" s="1"/>
  <c r="D32" i="1"/>
  <c r="C32" i="1"/>
  <c r="C35" i="1" s="1"/>
  <c r="B32" i="1"/>
  <c r="L31" i="1"/>
  <c r="L35" i="1" s="1"/>
  <c r="J31" i="1"/>
  <c r="J35" i="1" s="1"/>
  <c r="I31" i="1"/>
  <c r="I35" i="1" s="1"/>
  <c r="I48" i="1" s="1"/>
  <c r="H31" i="1"/>
  <c r="G31" i="1"/>
  <c r="E31" i="1"/>
  <c r="D31" i="1"/>
  <c r="D35" i="1" s="1"/>
  <c r="C31" i="1"/>
  <c r="B31" i="1"/>
  <c r="B35" i="1" s="1"/>
  <c r="N30" i="1"/>
  <c r="K29" i="1"/>
  <c r="J29" i="1"/>
  <c r="I29" i="1"/>
  <c r="H29" i="1"/>
  <c r="K28" i="1"/>
  <c r="J28" i="1"/>
  <c r="H28" i="1"/>
  <c r="G28" i="1"/>
  <c r="F28" i="1"/>
  <c r="E28" i="1"/>
  <c r="C28" i="1"/>
  <c r="N28" i="1" s="1"/>
  <c r="M27" i="1"/>
  <c r="L27" i="1"/>
  <c r="J27" i="1"/>
  <c r="I27" i="1"/>
  <c r="H27" i="1"/>
  <c r="G27" i="1"/>
  <c r="E27" i="1"/>
  <c r="D27" i="1"/>
  <c r="D29" i="1" s="1"/>
  <c r="C27" i="1"/>
  <c r="B27" i="1"/>
  <c r="N27" i="1" s="1"/>
  <c r="M26" i="1"/>
  <c r="M29" i="1" s="1"/>
  <c r="L26" i="1"/>
  <c r="N26" i="1" s="1"/>
  <c r="J26" i="1"/>
  <c r="I26" i="1"/>
  <c r="H26" i="1"/>
  <c r="G26" i="1"/>
  <c r="E26" i="1"/>
  <c r="D26" i="1"/>
  <c r="C26" i="1"/>
  <c r="C29" i="1" s="1"/>
  <c r="B26" i="1"/>
  <c r="B29" i="1" s="1"/>
  <c r="J25" i="1"/>
  <c r="I25" i="1"/>
  <c r="H25" i="1"/>
  <c r="G25" i="1"/>
  <c r="G29" i="1" s="1"/>
  <c r="F25" i="1"/>
  <c r="N25" i="1" s="1"/>
  <c r="E25" i="1"/>
  <c r="E29" i="1" s="1"/>
  <c r="N24" i="1"/>
  <c r="M23" i="1"/>
  <c r="J23" i="1"/>
  <c r="I23" i="1"/>
  <c r="H23" i="1"/>
  <c r="G23" i="1"/>
  <c r="G48" i="1" s="1"/>
  <c r="F23" i="1"/>
  <c r="E23" i="1"/>
  <c r="E48" i="1" s="1"/>
  <c r="D23" i="1"/>
  <c r="C23" i="1"/>
  <c r="M22" i="1"/>
  <c r="L22" i="1"/>
  <c r="K22" i="1"/>
  <c r="J22" i="1"/>
  <c r="I22" i="1"/>
  <c r="H22" i="1"/>
  <c r="G22" i="1"/>
  <c r="F22" i="1"/>
  <c r="E22" i="1"/>
  <c r="D22" i="1"/>
  <c r="C22" i="1"/>
  <c r="B22" i="1"/>
  <c r="N22" i="1" s="1"/>
  <c r="M21" i="1"/>
  <c r="L21" i="1"/>
  <c r="L23" i="1" s="1"/>
  <c r="K21" i="1"/>
  <c r="K23" i="1" s="1"/>
  <c r="J21" i="1"/>
  <c r="I21" i="1"/>
  <c r="H21" i="1"/>
  <c r="G21" i="1"/>
  <c r="F21" i="1"/>
  <c r="E21" i="1"/>
  <c r="D21" i="1"/>
  <c r="C21" i="1"/>
  <c r="B21" i="1"/>
  <c r="B23" i="1" s="1"/>
  <c r="N20" i="1"/>
  <c r="N17" i="1"/>
  <c r="F17" i="1"/>
  <c r="L16" i="1"/>
  <c r="K16" i="1"/>
  <c r="J16" i="1"/>
  <c r="I16" i="1"/>
  <c r="H16" i="1"/>
  <c r="G16" i="1"/>
  <c r="F16" i="1"/>
  <c r="E16" i="1"/>
  <c r="D16" i="1"/>
  <c r="C16" i="1"/>
  <c r="B16" i="1"/>
  <c r="N16" i="1" s="1"/>
  <c r="N15" i="1"/>
  <c r="L15" i="1"/>
  <c r="K15" i="1"/>
  <c r="J15" i="1"/>
  <c r="I15" i="1"/>
  <c r="H15" i="1"/>
  <c r="E15" i="1"/>
  <c r="D15" i="1"/>
  <c r="H14" i="1"/>
  <c r="G14" i="1"/>
  <c r="F14" i="1"/>
  <c r="F18" i="1" s="1"/>
  <c r="E14" i="1"/>
  <c r="D14" i="1"/>
  <c r="D18" i="1" s="1"/>
  <c r="C14" i="1"/>
  <c r="N14" i="1" s="1"/>
  <c r="J13" i="1"/>
  <c r="I13" i="1"/>
  <c r="H13" i="1"/>
  <c r="G13" i="1"/>
  <c r="F13" i="1"/>
  <c r="D13" i="1"/>
  <c r="C13" i="1"/>
  <c r="N13" i="1" s="1"/>
  <c r="K12" i="1"/>
  <c r="N12" i="1" s="1"/>
  <c r="G11" i="1"/>
  <c r="E11" i="1"/>
  <c r="E18" i="1" s="1"/>
  <c r="N10" i="1"/>
  <c r="M10" i="1"/>
  <c r="L10" i="1"/>
  <c r="L18" i="1" s="1"/>
  <c r="J10" i="1"/>
  <c r="H10" i="1"/>
  <c r="G10" i="1"/>
  <c r="F10" i="1"/>
  <c r="D10" i="1"/>
  <c r="C10" i="1"/>
  <c r="B10" i="1"/>
  <c r="M9" i="1"/>
  <c r="M18" i="1" s="1"/>
  <c r="K9" i="1"/>
  <c r="K18" i="1" s="1"/>
  <c r="J9" i="1"/>
  <c r="I9" i="1"/>
  <c r="N9" i="1" s="1"/>
  <c r="H9" i="1"/>
  <c r="G9" i="1"/>
  <c r="F9" i="1"/>
  <c r="E9" i="1"/>
  <c r="D9" i="1"/>
  <c r="C9" i="1"/>
  <c r="B9" i="1"/>
  <c r="E8" i="1"/>
  <c r="D8" i="1"/>
  <c r="N8" i="1" s="1"/>
  <c r="J7" i="1"/>
  <c r="J18" i="1" s="1"/>
  <c r="H7" i="1"/>
  <c r="H18" i="1" s="1"/>
  <c r="G7" i="1"/>
  <c r="N7" i="1" s="1"/>
  <c r="F7" i="1"/>
  <c r="B30" i="4" l="1"/>
  <c r="C30" i="4"/>
  <c r="B57" i="3"/>
  <c r="C57" i="3"/>
  <c r="C87" i="2"/>
  <c r="D87" i="2"/>
  <c r="C54" i="2"/>
  <c r="C55" i="2" s="1"/>
  <c r="C77" i="2" s="1"/>
  <c r="D54" i="2"/>
  <c r="D55" i="2" s="1"/>
  <c r="D77" i="2" s="1"/>
  <c r="D88" i="2" s="1"/>
  <c r="B54" i="2"/>
  <c r="B55" i="2" s="1"/>
  <c r="B77" i="2" s="1"/>
  <c r="B88" i="2" s="1"/>
  <c r="K79" i="1"/>
  <c r="N35" i="1"/>
  <c r="E49" i="1"/>
  <c r="E69" i="1" s="1"/>
  <c r="E80" i="1" s="1"/>
  <c r="K49" i="1"/>
  <c r="K69" i="1" s="1"/>
  <c r="K80" i="1" s="1"/>
  <c r="B79" i="1"/>
  <c r="N79" i="1" s="1"/>
  <c r="N72" i="1"/>
  <c r="M48" i="1"/>
  <c r="M49" i="1" s="1"/>
  <c r="M69" i="1" s="1"/>
  <c r="M80" i="1" s="1"/>
  <c r="J79" i="1"/>
  <c r="K48" i="1"/>
  <c r="J48" i="1"/>
  <c r="J49" i="1" s="1"/>
  <c r="J69" i="1" s="1"/>
  <c r="J80" i="1" s="1"/>
  <c r="L48" i="1"/>
  <c r="L49" i="1" s="1"/>
  <c r="L69" i="1" s="1"/>
  <c r="L80" i="1" s="1"/>
  <c r="C48" i="1"/>
  <c r="D48" i="1"/>
  <c r="D49" i="1" s="1"/>
  <c r="D69" i="1" s="1"/>
  <c r="D80" i="1" s="1"/>
  <c r="N23" i="1"/>
  <c r="B48" i="1"/>
  <c r="N78" i="1"/>
  <c r="B18" i="1"/>
  <c r="C18" i="1"/>
  <c r="C49" i="1" s="1"/>
  <c r="C69" i="1" s="1"/>
  <c r="C80" i="1" s="1"/>
  <c r="N74" i="1"/>
  <c r="N11" i="1"/>
  <c r="N31" i="1"/>
  <c r="L29" i="1"/>
  <c r="N71" i="1"/>
  <c r="G18" i="1"/>
  <c r="G49" i="1" s="1"/>
  <c r="G69" i="1" s="1"/>
  <c r="G80" i="1" s="1"/>
  <c r="N52" i="1"/>
  <c r="N43" i="1"/>
  <c r="I18" i="1"/>
  <c r="I49" i="1" s="1"/>
  <c r="F68" i="1"/>
  <c r="H41" i="1"/>
  <c r="H48" i="1" s="1"/>
  <c r="H49" i="1" s="1"/>
  <c r="H69" i="1" s="1"/>
  <c r="H80" i="1" s="1"/>
  <c r="I68" i="1"/>
  <c r="F29" i="1"/>
  <c r="N29" i="1" s="1"/>
  <c r="B68" i="1"/>
  <c r="N68" i="1" s="1"/>
  <c r="N21" i="1"/>
  <c r="C88" i="2" l="1"/>
  <c r="N18" i="1"/>
  <c r="B49" i="1"/>
  <c r="N48" i="1"/>
  <c r="N41" i="1"/>
  <c r="I69" i="1"/>
  <c r="I80" i="1" s="1"/>
  <c r="F48" i="1"/>
  <c r="F49" i="1" s="1"/>
  <c r="F69" i="1" s="1"/>
  <c r="F80" i="1" s="1"/>
  <c r="N49" i="1" l="1"/>
  <c r="B69" i="1"/>
  <c r="B80" i="1" l="1"/>
  <c r="N80" i="1" s="1"/>
  <c r="N69" i="1"/>
</calcChain>
</file>

<file path=xl/sharedStrings.xml><?xml version="1.0" encoding="utf-8"?>
<sst xmlns="http://schemas.openxmlformats.org/spreadsheetml/2006/main" count="307" uniqueCount="268">
  <si>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</si>
  <si>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</si>
  <si>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</si>
  <si>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</si>
  <si>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</si>
  <si>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</si>
  <si>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</si>
  <si>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</si>
  <si>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</si>
  <si>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</si>
  <si>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</si>
  <si>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</si>
  <si>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Total</t>
  </si>
  <si>
    <t>Income</t>
  </si>
  <si>
    <t xml:space="preserve">   Club Rental</t>
  </si>
  <si>
    <t xml:space="preserve">   Corporate Sponsorships</t>
  </si>
  <si>
    <t xml:space="preserve">   Dues Swim &amp; Tennis</t>
  </si>
  <si>
    <t xml:space="preserve">   Dues Tennis Only</t>
  </si>
  <si>
    <t xml:space="preserve">   Fundraiser Income</t>
  </si>
  <si>
    <t xml:space="preserve">   Social Event Revenue</t>
  </si>
  <si>
    <t xml:space="preserve">   Swim Guest Fees</t>
  </si>
  <si>
    <t xml:space="preserve">   Swim Team Fees</t>
  </si>
  <si>
    <t xml:space="preserve">   Tennis Ball Machine Fees</t>
  </si>
  <si>
    <t xml:space="preserve">   Tennis Guest Fees</t>
  </si>
  <si>
    <t xml:space="preserve">   Waitlist Fees</t>
  </si>
  <si>
    <t>Total Income</t>
  </si>
  <si>
    <t>Cost of Goods Sold</t>
  </si>
  <si>
    <t xml:space="preserve">   Operating Costs - Facility/Grounds</t>
  </si>
  <si>
    <t xml:space="preserve">      Grounds Maintenance General</t>
  </si>
  <si>
    <t xml:space="preserve">      Landscaping</t>
  </si>
  <si>
    <t xml:space="preserve">   Total Operating Costs - Facility/Grounds</t>
  </si>
  <si>
    <t xml:space="preserve">   Operating Costs - Pool</t>
  </si>
  <si>
    <t xml:space="preserve">      Pool - Chemicals &amp; Supplies</t>
  </si>
  <si>
    <t xml:space="preserve">      Pool - Payroll - Pool Mgt &amp; Life Guards</t>
  </si>
  <si>
    <t xml:space="preserve">      Pool - Payroll Taxes Mgt &amp; Life Guards</t>
  </si>
  <si>
    <t xml:space="preserve">      Pool - Repairs and Maintenance</t>
  </si>
  <si>
    <t xml:space="preserve">   Total Operating Costs - Pool</t>
  </si>
  <si>
    <t xml:space="preserve">   Operating Costs - Swim Team</t>
  </si>
  <si>
    <t xml:space="preserve">      Swim Team - Coaches  Payroll Taxes</t>
  </si>
  <si>
    <t xml:space="preserve">      Swim Team - Coaches Payroll</t>
  </si>
  <si>
    <t xml:space="preserve">      Swim Team - Shirts, Caps, Other</t>
  </si>
  <si>
    <t xml:space="preserve">      Swim Team - Swim Team Fees</t>
  </si>
  <si>
    <t xml:space="preserve">   Total Operating Costs - Swim Team</t>
  </si>
  <si>
    <t xml:space="preserve">   Operating Costs - Tennis</t>
  </si>
  <si>
    <t xml:space="preserve">      Tennis -  Management Fees</t>
  </si>
  <si>
    <t xml:space="preserve">      Tennis - Repairs and Maintenance</t>
  </si>
  <si>
    <t xml:space="preserve">      Tennis - Supplies</t>
  </si>
  <si>
    <t xml:space="preserve">      Tennis Tournament Fees</t>
  </si>
  <si>
    <t xml:space="preserve">   Total Operating Costs - Tennis</t>
  </si>
  <si>
    <t xml:space="preserve">   Operating Costs - Utilities</t>
  </si>
  <si>
    <t xml:space="preserve">      Electricity</t>
  </si>
  <si>
    <t xml:space="preserve">      Telephone and Internet</t>
  </si>
  <si>
    <t xml:space="preserve">      Water/Sewer/Gas</t>
  </si>
  <si>
    <t xml:space="preserve">   Total Operating Costs - Utilities</t>
  </si>
  <si>
    <t xml:space="preserve">   Supplies &amp; Materials - Pool and Tennis</t>
  </si>
  <si>
    <t>Total Cost of Goods Sold</t>
  </si>
  <si>
    <t>Gross Profit</t>
  </si>
  <si>
    <t>Expenses</t>
  </si>
  <si>
    <t xml:space="preserve">   Advertising</t>
  </si>
  <si>
    <t xml:space="preserve">   Bank Charges</t>
  </si>
  <si>
    <t xml:space="preserve">   Dues &amp; Subscriptions</t>
  </si>
  <si>
    <t xml:space="preserve">   Fundraiser Expense</t>
  </si>
  <si>
    <t xml:space="preserve">   Insurance</t>
  </si>
  <si>
    <t xml:space="preserve">   Legal &amp; Professional Fees</t>
  </si>
  <si>
    <t xml:space="preserve">   Meals and Entertainment</t>
  </si>
  <si>
    <t xml:space="preserve">   Office Expenses</t>
  </si>
  <si>
    <t xml:space="preserve">   Other General and Admin Expenses</t>
  </si>
  <si>
    <t xml:space="preserve">   Promotional</t>
  </si>
  <si>
    <t xml:space="preserve">   Property Taxes</t>
  </si>
  <si>
    <t xml:space="preserve">   Repair &amp; Maintenance - General</t>
  </si>
  <si>
    <t xml:space="preserve">   Repair &amp; Maintenance - Grill</t>
  </si>
  <si>
    <t xml:space="preserve">   Service Charges</t>
  </si>
  <si>
    <t xml:space="preserve">   Social Events</t>
  </si>
  <si>
    <t xml:space="preserve">   Supplies - General</t>
  </si>
  <si>
    <t xml:space="preserve">   Website Expenses</t>
  </si>
  <si>
    <t>Total Expenses</t>
  </si>
  <si>
    <t>Net Operating Income</t>
  </si>
  <si>
    <t>Other Income</t>
  </si>
  <si>
    <t xml:space="preserve">   Other Ordinary Income</t>
  </si>
  <si>
    <t>Total Other Income</t>
  </si>
  <si>
    <t>Other Expenses</t>
  </si>
  <si>
    <t xml:space="preserve">   Amortization</t>
  </si>
  <si>
    <t>Total Other Expenses</t>
  </si>
  <si>
    <t>Net Other Income</t>
  </si>
  <si>
    <t>Net Income</t>
  </si>
  <si>
    <t xml:space="preserve">1. December 2025 Interest Expense estimated </t>
  </si>
  <si>
    <t>2. Reflects net items pending proper classification</t>
  </si>
  <si>
    <t>3. Depreciation Expense is estimated during  the year</t>
  </si>
  <si>
    <t>Friday, Feb 20, 2026 08:35:53 AM GMT-8 - Accrual Basis</t>
  </si>
  <si>
    <t>Cardinal Swim and Tennis Club, LLC</t>
  </si>
  <si>
    <t>Profit and Loss</t>
  </si>
  <si>
    <t>January - December 2025</t>
  </si>
  <si>
    <t>Notes</t>
  </si>
  <si>
    <t xml:space="preserve">   Interest Expense Mortgage - see Note 1</t>
  </si>
  <si>
    <t xml:space="preserve">   Pending Classification - ask Client - see Note 2</t>
  </si>
  <si>
    <t xml:space="preserve">   Depreciation - see Note 3</t>
  </si>
  <si>
    <t>Accrual Basis Friday, February 20, 2026 04:44 PM GMTZ</t>
  </si>
  <si>
    <t xml:space="preserve">1. December 2025 Interest Expense estimated 
2. Reflects net items pending proper classification 
3. Depreciation Expense is estimated during the year
</t>
  </si>
  <si>
    <t>Total for Other Expenses</t>
  </si>
  <si>
    <t>Depreciation</t>
  </si>
  <si>
    <t>Amortization</t>
  </si>
  <si>
    <t>Total for Other Income</t>
  </si>
  <si>
    <t>Other Ordinary Income</t>
  </si>
  <si>
    <t>Total for Expenses</t>
  </si>
  <si>
    <t>Gate City Banquet Income</t>
  </si>
  <si>
    <t>Gate City Banquet Expenses</t>
  </si>
  <si>
    <t>Service Charges</t>
  </si>
  <si>
    <t>Website Expenses</t>
  </si>
  <si>
    <t>Supplies - General</t>
  </si>
  <si>
    <t>Social Events</t>
  </si>
  <si>
    <t>Repair &amp; Maintenance - Grill</t>
  </si>
  <si>
    <t>Repair &amp; Maintenance - General</t>
  </si>
  <si>
    <t>Property Taxes</t>
  </si>
  <si>
    <t>Promotional</t>
  </si>
  <si>
    <t>Other General and Admin Expenses</t>
  </si>
  <si>
    <t>Office Expenses</t>
  </si>
  <si>
    <t>Meals and Entertainment</t>
  </si>
  <si>
    <t>Legal &amp; Professional Fees</t>
  </si>
  <si>
    <t>Insurance</t>
  </si>
  <si>
    <t>Fundraiser Expense</t>
  </si>
  <si>
    <t>Dues &amp; Subscriptions</t>
  </si>
  <si>
    <t>Bank Charges</t>
  </si>
  <si>
    <t>Advertising</t>
  </si>
  <si>
    <t>Total for Cost of Goods Sold</t>
  </si>
  <si>
    <t>Supplies &amp; Materials - Pool and Tennis</t>
  </si>
  <si>
    <t>Total for Operating Costs - Utilities</t>
  </si>
  <si>
    <t>Water/Sewer/Gas</t>
  </si>
  <si>
    <t>Telephone and Internet</t>
  </si>
  <si>
    <t>Electricity</t>
  </si>
  <si>
    <t>Operating Costs - Utilities</t>
  </si>
  <si>
    <t>Total for Operating Costs - Tennis</t>
  </si>
  <si>
    <t>Tennis - Other</t>
  </si>
  <si>
    <t>Tennis Tournament Fees</t>
  </si>
  <si>
    <t>Tennis - Supplies</t>
  </si>
  <si>
    <t>Tennis - Repairs and Maintenance</t>
  </si>
  <si>
    <t>Tennis -  Management Fees</t>
  </si>
  <si>
    <t>Operating Costs - Tennis</t>
  </si>
  <si>
    <t>Total for Operating Costs - Swim Team</t>
  </si>
  <si>
    <t>Swim Team - Swim Team Fees</t>
  </si>
  <si>
    <t>Swim Team - Shirts, Caps, Other</t>
  </si>
  <si>
    <t>Swim Team - Coaches  Payroll Taxes</t>
  </si>
  <si>
    <t>Swim Team - Coaches Payroll</t>
  </si>
  <si>
    <t>Operating Costs - Swim Team</t>
  </si>
  <si>
    <t>Total for Operating Costs - Pool</t>
  </si>
  <si>
    <t>Pool - Repairs and Maintenance</t>
  </si>
  <si>
    <t>Pool - Payroll Taxes Mgt &amp; Life Guards</t>
  </si>
  <si>
    <t>Pool - Payroll - Pool Mgt &amp; Life Guards</t>
  </si>
  <si>
    <t>Pool - Chemicals &amp; Supplies</t>
  </si>
  <si>
    <t>Operating Costs - Pool</t>
  </si>
  <si>
    <t>Total for Operating Costs - Facility/Grounds</t>
  </si>
  <si>
    <t>Buildings Mtc</t>
  </si>
  <si>
    <t>Landscaping</t>
  </si>
  <si>
    <t>Grounds Maintenance General</t>
  </si>
  <si>
    <t>Operating Costs - Facility/Grounds</t>
  </si>
  <si>
    <t>Total for Income</t>
  </si>
  <si>
    <t>Sponsorships - Tennis</t>
  </si>
  <si>
    <t>Sponsorships - Swim</t>
  </si>
  <si>
    <t>Credit Card Process Fees</t>
  </si>
  <si>
    <t>Waitlist Fees</t>
  </si>
  <si>
    <t>Tennis Guest Fees</t>
  </si>
  <si>
    <t>Tennis Ball Machine Fees</t>
  </si>
  <si>
    <t>Swim Team Fees</t>
  </si>
  <si>
    <t>Swim Guest Fees</t>
  </si>
  <si>
    <t>Social Event Revenue</t>
  </si>
  <si>
    <t>Fundraiser Income</t>
  </si>
  <si>
    <t>Dues Tennis Only</t>
  </si>
  <si>
    <t>Dues Swim &amp; Tennis</t>
  </si>
  <si>
    <t>Corporate Sponsorships</t>
  </si>
  <si>
    <t>Club Rental</t>
  </si>
  <si>
    <t>Jan 1 - Dec 31 2025</t>
  </si>
  <si>
    <t>Distribution account</t>
  </si>
  <si>
    <t>January-December, 2025</t>
  </si>
  <si>
    <t>Interest Expense Mortgage - see Note 1</t>
  </si>
  <si>
    <t>Depreciation - see note 3</t>
  </si>
  <si>
    <t>Pending Classification - ask Client - see Note 2</t>
  </si>
  <si>
    <t xml:space="preserve">Jan 1 - Dec 31 2024 </t>
  </si>
  <si>
    <t>Jan 1 - Dec 31 2023</t>
  </si>
  <si>
    <t>Accrual Basis Friday, February 20, 2026 05:06 PM GMTZ</t>
  </si>
  <si>
    <t>2. Depreciation Expense is estimated during the year</t>
  </si>
  <si>
    <t>1. December 2025 Interest Expense estimated</t>
  </si>
  <si>
    <t>Total for Liabilities and Equity</t>
  </si>
  <si>
    <t>Total for Equity</t>
  </si>
  <si>
    <t>Retained Earnings</t>
  </si>
  <si>
    <t>Preferred Unit</t>
  </si>
  <si>
    <t>Common Unit</t>
  </si>
  <si>
    <t>Equity</t>
  </si>
  <si>
    <t>Total for Liabilities</t>
  </si>
  <si>
    <t>Total for Long-term Liabilities</t>
  </si>
  <si>
    <t>Long term Loan - Pinnacle - see Note 1</t>
  </si>
  <si>
    <t>Long-term Liabilities</t>
  </si>
  <si>
    <t>Total for Current Liabilities</t>
  </si>
  <si>
    <t>Total for Credit Cards</t>
  </si>
  <si>
    <t>Truist Visa 8777 / 3537</t>
  </si>
  <si>
    <t>Credit Cards</t>
  </si>
  <si>
    <t>Total for Accounts Payable</t>
  </si>
  <si>
    <t>Accounts Payable (A/P)</t>
  </si>
  <si>
    <t>Accounts Payable</t>
  </si>
  <si>
    <t>Current Liabilities</t>
  </si>
  <si>
    <t>Liabilities</t>
  </si>
  <si>
    <t>Liabilities and Equity</t>
  </si>
  <si>
    <t>Total for Assets</t>
  </si>
  <si>
    <t>Total for Fixed Assets</t>
  </si>
  <si>
    <t>Total for Tennis Start Up Costs</t>
  </si>
  <si>
    <t>Original cost</t>
  </si>
  <si>
    <t>Tennis Start Up Costs</t>
  </si>
  <si>
    <t>Total for Tennis Courts - Equipment</t>
  </si>
  <si>
    <t>Tennis Courts - Equipment</t>
  </si>
  <si>
    <t>Total for Other Leasehold - Equipment</t>
  </si>
  <si>
    <t>Other Leasehold - Equipment</t>
  </si>
  <si>
    <t>Total for Other Equipment</t>
  </si>
  <si>
    <t>Other Equipment</t>
  </si>
  <si>
    <t>Total for Organizational Costs</t>
  </si>
  <si>
    <t>Organizational Costs</t>
  </si>
  <si>
    <t>Total for Land and Building</t>
  </si>
  <si>
    <t>Total for Tennis Shop - Building</t>
  </si>
  <si>
    <t>Tennis Shop - Building</t>
  </si>
  <si>
    <t>Total for Swimming Pool - Building</t>
  </si>
  <si>
    <t>Swimming Pool - Building</t>
  </si>
  <si>
    <t>Total for Pool Cabana - Building</t>
  </si>
  <si>
    <t>Pool Cabana - Building</t>
  </si>
  <si>
    <t>Total for Land Improvements</t>
  </si>
  <si>
    <t>Land Improvements</t>
  </si>
  <si>
    <t>Land</t>
  </si>
  <si>
    <t>Land and Building</t>
  </si>
  <si>
    <t>Fixed Assets - see Note 2</t>
  </si>
  <si>
    <t>Total for Current Assets</t>
  </si>
  <si>
    <t>Total for Other Current Assets</t>
  </si>
  <si>
    <t>Utility Deposits</t>
  </si>
  <si>
    <t>Prepaid Expenses</t>
  </si>
  <si>
    <t>Other Current Assets</t>
  </si>
  <si>
    <t>Total for Accounts Receivable</t>
  </si>
  <si>
    <t>Accounts Receivable</t>
  </si>
  <si>
    <t>Total for Bank Accounts</t>
  </si>
  <si>
    <t>Truist Checking</t>
  </si>
  <si>
    <t>Pinnacle Checking</t>
  </si>
  <si>
    <t>Bank Accounts</t>
  </si>
  <si>
    <t>Current Assets</t>
  </si>
  <si>
    <t>Assets</t>
  </si>
  <si>
    <t xml:space="preserve">As of December 31, 2023 </t>
  </si>
  <si>
    <t>As of December 31, 2024</t>
  </si>
  <si>
    <t>As of December 31, 2025</t>
  </si>
  <si>
    <t>Balance Sheet</t>
  </si>
  <si>
    <t xml:space="preserve"> Friday, February 20, 2026 05:11 PM GMTZ</t>
  </si>
  <si>
    <t>CASH AT END OF PERIOD</t>
  </si>
  <si>
    <t>Cash at beginning of period</t>
  </si>
  <si>
    <t>NET CASH INCREASE FOR PERIOD</t>
  </si>
  <si>
    <t>Net cash provided by financing activities</t>
  </si>
  <si>
    <t>Long term Loan - Pinnacle</t>
  </si>
  <si>
    <t>FINANCING ACTIVITIES</t>
  </si>
  <si>
    <t>Net cash provided by investing activities</t>
  </si>
  <si>
    <t>Organizational Costs:Amortization</t>
  </si>
  <si>
    <t>Land and Building:Swimming Pool - Building</t>
  </si>
  <si>
    <t>INVESTING ACTIVITIES</t>
  </si>
  <si>
    <t>Net cash provided by operating activities</t>
  </si>
  <si>
    <t>Total for Adjustments to reconcile Net Income to Net Cash provided by operations:</t>
  </si>
  <si>
    <t>Tennis Start Up Costs:Amortization</t>
  </si>
  <si>
    <t>Tennis Courts - Equipment:Depreciation</t>
  </si>
  <si>
    <t>Other Leasehold - Equipment:Depreciation</t>
  </si>
  <si>
    <t>Other Equipment:Depreciation</t>
  </si>
  <si>
    <t>Land and Building:Pool Cabana - Building:Depreciation</t>
  </si>
  <si>
    <t>Land and Building:Land Improvements:Depreciation</t>
  </si>
  <si>
    <t>Adjustments to reconcile Net Income to Net Cash provided by operations:</t>
  </si>
  <si>
    <t>OPERATING ACTIVITIES</t>
  </si>
  <si>
    <t>Full name</t>
  </si>
  <si>
    <t>Statement of Cash Flows</t>
  </si>
  <si>
    <t>Tennis Courts - Equipment Original cost</t>
  </si>
  <si>
    <t>FY 2025</t>
  </si>
  <si>
    <t>FY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</si>
</sst>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;_(&quot;$&quot;* &quot;-&quot;??_);_(* @_)"/>
    <numFmt numFmtId="166" formatCode="\$#,##0.00"/>
  </numFmts>
  <fonts count="18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" fillId="0" borderId="0"/>
    <xf numFmtId="0" fontId="11" fillId="0" borderId="1"/>
    <xf numFmtId="43" fontId="17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39" fontId="3" fillId="0" borderId="0" xfId="0" applyNumberFormat="1" applyFont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3"/>
    <xf numFmtId="0" fontId="8" fillId="0" borderId="0" xfId="3" applyAlignment="1">
      <alignment wrapText="1"/>
    </xf>
    <xf numFmtId="0" fontId="8" fillId="0" borderId="0" xfId="3" applyAlignment="1">
      <alignment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wrapText="1"/>
    </xf>
    <xf numFmtId="0" fontId="10" fillId="0" borderId="0" xfId="3" applyFont="1" applyAlignment="1">
      <alignment horizontal="left" wrapText="1"/>
    </xf>
    <xf numFmtId="166" fontId="10" fillId="0" borderId="3" xfId="3" applyNumberFormat="1" applyFont="1" applyBorder="1" applyAlignment="1">
      <alignment wrapText="1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left" wrapText="1" indent="1"/>
    </xf>
    <xf numFmtId="0" fontId="9" fillId="0" borderId="0" xfId="3" applyFont="1" applyAlignment="1">
      <alignment horizontal="left" wrapText="1"/>
    </xf>
    <xf numFmtId="0" fontId="10" fillId="0" borderId="0" xfId="3" applyFont="1" applyAlignment="1">
      <alignment horizontal="left" wrapText="1" indent="1"/>
    </xf>
    <xf numFmtId="0" fontId="9" fillId="0" borderId="0" xfId="3" applyFont="1" applyAlignment="1">
      <alignment horizontal="left" wrapText="1" indent="2"/>
    </xf>
    <xf numFmtId="0" fontId="12" fillId="0" borderId="1" xfId="4" applyFont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1" xfId="4" applyFont="1" applyAlignment="1">
      <alignment horizontal="center" wrapText="1"/>
    </xf>
    <xf numFmtId="0" fontId="13" fillId="0" borderId="0" xfId="3" applyFont="1" applyAlignment="1">
      <alignment horizontal="center" wrapText="1"/>
    </xf>
    <xf numFmtId="0" fontId="14" fillId="0" borderId="0" xfId="3" applyFont="1" applyAlignment="1">
      <alignment horizontal="center" wrapText="1"/>
    </xf>
    <xf numFmtId="0" fontId="15" fillId="0" borderId="0" xfId="3" applyFont="1" applyAlignment="1">
      <alignment horizontal="center" wrapText="1"/>
    </xf>
    <xf numFmtId="0" fontId="11" fillId="0" borderId="0" xfId="3" applyFont="1" applyAlignment="1">
      <alignment wrapText="1"/>
    </xf>
    <xf numFmtId="0" fontId="14" fillId="0" borderId="0" xfId="3" applyFont="1" applyAlignment="1">
      <alignment wrapText="1"/>
    </xf>
    <xf numFmtId="43" fontId="9" fillId="0" borderId="0" xfId="1" applyFont="1" applyAlignment="1">
      <alignment wrapText="1"/>
    </xf>
    <xf numFmtId="43" fontId="10" fillId="0" borderId="3" xfId="1" applyFont="1" applyBorder="1" applyAlignment="1">
      <alignment wrapText="1"/>
    </xf>
    <xf numFmtId="43" fontId="8" fillId="0" borderId="0" xfId="1" applyFont="1" applyAlignment="1">
      <alignment wrapText="1"/>
    </xf>
    <xf numFmtId="44" fontId="10" fillId="0" borderId="5" xfId="2" applyFont="1" applyBorder="1" applyAlignment="1">
      <alignment wrapText="1"/>
    </xf>
    <xf numFmtId="43" fontId="3" fillId="0" borderId="0" xfId="1" applyFont="1" applyAlignment="1">
      <alignment wrapText="1"/>
    </xf>
    <xf numFmtId="43" fontId="3" fillId="0" borderId="0" xfId="1" applyFont="1" applyAlignment="1">
      <alignment horizontal="right" wrapText="1"/>
    </xf>
    <xf numFmtId="43" fontId="2" fillId="0" borderId="2" xfId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7" fillId="0" borderId="0" xfId="3" applyFont="1" applyAlignment="1">
      <alignment wrapText="1"/>
    </xf>
    <xf numFmtId="0" fontId="16" fillId="0" borderId="0" xfId="3" applyFont="1" applyAlignment="1">
      <alignment wrapText="1"/>
    </xf>
    <xf numFmtId="43" fontId="10" fillId="0" borderId="3" xfId="5" applyFont="1" applyBorder="1" applyAlignment="1">
      <alignment wrapText="1"/>
    </xf>
    <xf numFmtId="43" fontId="9" fillId="0" borderId="0" xfId="5" applyFont="1" applyAlignment="1">
      <alignment wrapText="1"/>
    </xf>
    <xf numFmtId="43" fontId="0" fillId="0" borderId="0" xfId="5" applyFont="1" applyAlignment="1">
      <alignment wrapText="1"/>
    </xf>
    <xf numFmtId="0" fontId="10" fillId="0" borderId="0" xfId="3" applyFont="1" applyAlignment="1">
      <alignment horizontal="left" wrapText="1" indent="2"/>
    </xf>
    <xf numFmtId="0" fontId="9" fillId="0" borderId="0" xfId="3" applyFont="1" applyAlignment="1">
      <alignment horizontal="left" wrapText="1" indent="3"/>
    </xf>
    <xf numFmtId="0" fontId="10" fillId="0" borderId="0" xfId="3" applyFont="1" applyAlignment="1">
      <alignment horizontal="left" wrapText="1" indent="3"/>
    </xf>
    <xf numFmtId="0" fontId="9" fillId="0" borderId="0" xfId="3" applyFont="1" applyAlignment="1">
      <alignment horizontal="left" wrapText="1" indent="4"/>
    </xf>
    <xf numFmtId="43" fontId="10" fillId="0" borderId="4" xfId="5" applyFont="1" applyBorder="1" applyAlignment="1">
      <alignment wrapText="1"/>
    </xf>
  </cellXfs>
  <cellStyles count="6">
    <cellStyle name="Comma" xfId="1" builtinId="3"/>
    <cellStyle name="Comma 2" xfId="5" xr:uid="{1373E123-8B0C-4AD1-9FA7-E2C3690BCF21}"/>
    <cellStyle name="Currency" xfId="2" builtinId="4"/>
    <cellStyle name="HeaderCellStyle" xfId="4" xr:uid="{817E3861-7F7D-4534-B5AC-7BDA8A4FCBCB}"/>
    <cellStyle name="Normal" xfId="0" builtinId="0"/>
    <cellStyle name="Normal 2" xfId="3" xr:uid="{D2223C69-691E-4D2E-887E-0CB635095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326C-E04A-48B3-86EF-B78BFBE8DC26}">
  <dimension ref="A1:D84"/>
  <sheetViews>
    <sheetView workbookViewId="0">
      <selection activeCell="N78" sqref="N78"/>
    </sheetView>
  </sheetViews>
  <sheetFormatPr defaultColWidth="12.5546875" defaultRowHeight="15.6" outlineLevelRow="4" x14ac:dyDescent="0.3"/>
  <cols>
    <col min="1" max="1" width="36" style="12" customWidth="1"/>
    <col min="2" max="2" width="18.88671875" style="12" customWidth="1"/>
    <col min="3" max="3" width="18.33203125" style="12" customWidth="1"/>
    <col min="4" max="4" width="16.6640625" style="12" customWidth="1"/>
    <col min="5" max="16384" width="12.5546875" style="11"/>
  </cols>
  <sheetData>
    <row r="1" spans="1:4" x14ac:dyDescent="0.3">
      <c r="A1" s="28" t="s">
        <v>241</v>
      </c>
      <c r="B1" s="13"/>
      <c r="C1" s="13"/>
      <c r="D1" s="13"/>
    </row>
    <row r="2" spans="1:4" x14ac:dyDescent="0.3">
      <c r="A2" s="27" t="s">
        <v>89</v>
      </c>
      <c r="B2" s="13"/>
      <c r="C2" s="13"/>
      <c r="D2" s="13"/>
    </row>
    <row r="3" spans="1:4" x14ac:dyDescent="0.3">
      <c r="A3" s="26" t="s">
        <v>240</v>
      </c>
      <c r="B3" s="13"/>
      <c r="C3" s="13"/>
      <c r="D3" s="13"/>
    </row>
    <row r="5" spans="1:4" x14ac:dyDescent="0.3">
      <c r="A5" s="23" t="s">
        <v>170</v>
      </c>
      <c r="B5" s="25" t="s">
        <v>12</v>
      </c>
      <c r="C5" s="13"/>
      <c r="D5" s="13"/>
    </row>
    <row r="6" spans="1:4" ht="28.2" customHeight="1" x14ac:dyDescent="0.3">
      <c r="B6" s="24" t="s">
        <v>240</v>
      </c>
      <c r="C6" s="24" t="s">
        <v>239</v>
      </c>
      <c r="D6" s="24" t="s">
        <v>238</v>
      </c>
    </row>
    <row r="7" spans="1:4" x14ac:dyDescent="0.3">
      <c r="A7" s="20" t="s">
        <v>237</v>
      </c>
    </row>
    <row r="8" spans="1:4" outlineLevel="1" x14ac:dyDescent="0.3">
      <c r="A8" s="19" t="s">
        <v>236</v>
      </c>
      <c r="B8" s="43"/>
      <c r="C8" s="43"/>
      <c r="D8" s="43"/>
    </row>
    <row r="9" spans="1:4" outlineLevel="2" x14ac:dyDescent="0.3">
      <c r="A9" s="22" t="s">
        <v>235</v>
      </c>
      <c r="B9" s="43"/>
      <c r="C9" s="43"/>
      <c r="D9" s="43"/>
    </row>
    <row r="10" spans="1:4" outlineLevel="3" x14ac:dyDescent="0.3">
      <c r="A10" s="45" t="s">
        <v>234</v>
      </c>
      <c r="B10" s="42">
        <v>69549.69</v>
      </c>
      <c r="C10" s="42">
        <v>104213.36</v>
      </c>
      <c r="D10" s="42">
        <v>153905.60000000001</v>
      </c>
    </row>
    <row r="11" spans="1:4" outlineLevel="3" x14ac:dyDescent="0.3">
      <c r="A11" s="45" t="s">
        <v>233</v>
      </c>
      <c r="B11" s="42">
        <v>77986.52</v>
      </c>
      <c r="C11" s="42">
        <v>30146.39</v>
      </c>
      <c r="D11" s="42">
        <v>28372.6</v>
      </c>
    </row>
    <row r="12" spans="1:4" outlineLevel="2" x14ac:dyDescent="0.3">
      <c r="A12" s="44" t="s">
        <v>232</v>
      </c>
      <c r="B12" s="41">
        <f>B9+B10+B11</f>
        <v>147536.21000000002</v>
      </c>
      <c r="C12" s="41">
        <f>C9+C10+C11</f>
        <v>134359.75</v>
      </c>
      <c r="D12" s="41">
        <f>D9+D10+D11</f>
        <v>182278.2</v>
      </c>
    </row>
    <row r="13" spans="1:4" outlineLevel="2" x14ac:dyDescent="0.3">
      <c r="A13" s="22" t="s">
        <v>231</v>
      </c>
      <c r="B13" s="43"/>
      <c r="C13" s="43"/>
      <c r="D13" s="43"/>
    </row>
    <row r="14" spans="1:4" outlineLevel="3" x14ac:dyDescent="0.3">
      <c r="A14" s="45" t="s">
        <v>231</v>
      </c>
      <c r="B14" s="42">
        <v>4869.17</v>
      </c>
      <c r="C14" s="42">
        <v>2420</v>
      </c>
      <c r="D14" s="42">
        <v>1879.75</v>
      </c>
    </row>
    <row r="15" spans="1:4" outlineLevel="2" x14ac:dyDescent="0.3">
      <c r="A15" s="44" t="s">
        <v>230</v>
      </c>
      <c r="B15" s="41">
        <f>B13+B14</f>
        <v>4869.17</v>
      </c>
      <c r="C15" s="41">
        <f>C13+C14</f>
        <v>2420</v>
      </c>
      <c r="D15" s="41">
        <f>D13+D14</f>
        <v>1879.75</v>
      </c>
    </row>
    <row r="16" spans="1:4" outlineLevel="2" x14ac:dyDescent="0.3">
      <c r="A16" s="22" t="s">
        <v>229</v>
      </c>
      <c r="B16" s="43"/>
      <c r="C16" s="43"/>
      <c r="D16" s="43"/>
    </row>
    <row r="17" spans="1:4" outlineLevel="3" x14ac:dyDescent="0.3">
      <c r="A17" s="45" t="s">
        <v>228</v>
      </c>
      <c r="B17" s="42">
        <v>5250</v>
      </c>
      <c r="C17" s="42">
        <v>8700</v>
      </c>
      <c r="D17" s="42">
        <v>3500</v>
      </c>
    </row>
    <row r="18" spans="1:4" outlineLevel="3" x14ac:dyDescent="0.3">
      <c r="A18" s="45" t="s">
        <v>227</v>
      </c>
      <c r="B18" s="42">
        <v>3448.13</v>
      </c>
      <c r="C18" s="42">
        <v>3448.13</v>
      </c>
      <c r="D18" s="42">
        <v>3448.13</v>
      </c>
    </row>
    <row r="19" spans="1:4" outlineLevel="2" x14ac:dyDescent="0.3">
      <c r="A19" s="44" t="s">
        <v>226</v>
      </c>
      <c r="B19" s="41">
        <f>B16+B17+B18</f>
        <v>8698.130000000001</v>
      </c>
      <c r="C19" s="41">
        <f>C16+C17+C18</f>
        <v>12148.130000000001</v>
      </c>
      <c r="D19" s="41">
        <f>D16+D17+D18</f>
        <v>6948.13</v>
      </c>
    </row>
    <row r="20" spans="1:4" outlineLevel="1" x14ac:dyDescent="0.3">
      <c r="A20" s="21" t="s">
        <v>225</v>
      </c>
      <c r="B20" s="41">
        <f>B8+B12+B15+B19</f>
        <v>161103.51000000004</v>
      </c>
      <c r="C20" s="41">
        <f>C8+C12+C15+C19</f>
        <v>148927.88</v>
      </c>
      <c r="D20" s="41">
        <f>D8+D12+D15+D19</f>
        <v>191106.08000000002</v>
      </c>
    </row>
    <row r="21" spans="1:4" outlineLevel="1" x14ac:dyDescent="0.3">
      <c r="A21" s="19" t="s">
        <v>224</v>
      </c>
      <c r="B21" s="43"/>
      <c r="C21" s="43"/>
      <c r="D21" s="43"/>
    </row>
    <row r="22" spans="1:4" outlineLevel="2" x14ac:dyDescent="0.3">
      <c r="A22" s="22" t="s">
        <v>223</v>
      </c>
      <c r="B22" s="42"/>
      <c r="C22" s="42"/>
      <c r="D22" s="42"/>
    </row>
    <row r="23" spans="1:4" outlineLevel="3" x14ac:dyDescent="0.3">
      <c r="A23" s="45" t="s">
        <v>222</v>
      </c>
      <c r="B23" s="42">
        <v>63485.120000000003</v>
      </c>
      <c r="C23" s="42">
        <v>63485.120000000003</v>
      </c>
      <c r="D23" s="42">
        <v>63485.120000000003</v>
      </c>
    </row>
    <row r="24" spans="1:4" outlineLevel="3" x14ac:dyDescent="0.3">
      <c r="A24" s="45" t="s">
        <v>221</v>
      </c>
      <c r="B24" s="42">
        <v>9982.92</v>
      </c>
      <c r="C24" s="42">
        <v>9982.92</v>
      </c>
      <c r="D24" s="42">
        <v>9982.92</v>
      </c>
    </row>
    <row r="25" spans="1:4" outlineLevel="4" x14ac:dyDescent="0.3">
      <c r="A25" s="47" t="s">
        <v>99</v>
      </c>
      <c r="B25" s="42">
        <v>-7164.32</v>
      </c>
      <c r="C25" s="42">
        <v>-5964.32</v>
      </c>
      <c r="D25" s="42">
        <v>-4972.32</v>
      </c>
    </row>
    <row r="26" spans="1:4" outlineLevel="3" x14ac:dyDescent="0.3">
      <c r="A26" s="46" t="s">
        <v>220</v>
      </c>
      <c r="B26" s="41">
        <f>B24+B25</f>
        <v>2818.6000000000004</v>
      </c>
      <c r="C26" s="41">
        <f>C24+C25</f>
        <v>4018.6000000000004</v>
      </c>
      <c r="D26" s="41">
        <f>D24+D25</f>
        <v>5010.6000000000004</v>
      </c>
    </row>
    <row r="27" spans="1:4" outlineLevel="3" x14ac:dyDescent="0.3">
      <c r="A27" s="45" t="s">
        <v>219</v>
      </c>
      <c r="B27" s="42">
        <v>33050.370000000003</v>
      </c>
      <c r="C27" s="42">
        <v>33050.370000000003</v>
      </c>
      <c r="D27" s="42">
        <v>33050.370000000003</v>
      </c>
    </row>
    <row r="28" spans="1:4" outlineLevel="4" x14ac:dyDescent="0.3">
      <c r="A28" s="47" t="s">
        <v>99</v>
      </c>
      <c r="B28" s="42">
        <v>-51601.13</v>
      </c>
      <c r="C28" s="42">
        <v>-28801.13</v>
      </c>
      <c r="D28" s="42">
        <v>-6326.13</v>
      </c>
    </row>
    <row r="29" spans="1:4" outlineLevel="3" x14ac:dyDescent="0.3">
      <c r="A29" s="46" t="s">
        <v>218</v>
      </c>
      <c r="B29" s="41">
        <f>B27+B28</f>
        <v>-18550.759999999995</v>
      </c>
      <c r="C29" s="41">
        <f>C27+C28</f>
        <v>4249.2400000000016</v>
      </c>
      <c r="D29" s="41">
        <f>D27+D28</f>
        <v>26724.240000000002</v>
      </c>
    </row>
    <row r="30" spans="1:4" outlineLevel="3" x14ac:dyDescent="0.3">
      <c r="A30" s="45" t="s">
        <v>217</v>
      </c>
      <c r="B30" s="42">
        <v>403177.64</v>
      </c>
      <c r="C30" s="42">
        <v>402871.46</v>
      </c>
      <c r="D30" s="42">
        <v>358808.22</v>
      </c>
    </row>
    <row r="31" spans="1:4" outlineLevel="4" x14ac:dyDescent="0.3">
      <c r="A31" s="47" t="s">
        <v>99</v>
      </c>
      <c r="B31" s="42">
        <v>-146595.78</v>
      </c>
      <c r="C31" s="42">
        <v>-146595.78</v>
      </c>
      <c r="D31" s="42">
        <v>-146595.78</v>
      </c>
    </row>
    <row r="32" spans="1:4" outlineLevel="3" x14ac:dyDescent="0.3">
      <c r="A32" s="46" t="s">
        <v>216</v>
      </c>
      <c r="B32" s="41">
        <f>B30+B31</f>
        <v>256581.86000000002</v>
      </c>
      <c r="C32" s="41">
        <f>C30+C31</f>
        <v>256275.68000000002</v>
      </c>
      <c r="D32" s="41">
        <f>D30+D31</f>
        <v>212212.43999999997</v>
      </c>
    </row>
    <row r="33" spans="1:4" outlineLevel="3" x14ac:dyDescent="0.3">
      <c r="A33" s="45" t="s">
        <v>215</v>
      </c>
      <c r="B33" s="42">
        <v>51839.96</v>
      </c>
      <c r="C33" s="42">
        <v>51839.96</v>
      </c>
      <c r="D33" s="42">
        <v>51839.96</v>
      </c>
    </row>
    <row r="34" spans="1:4" outlineLevel="4" x14ac:dyDescent="0.3">
      <c r="A34" s="47" t="s">
        <v>99</v>
      </c>
      <c r="B34" s="42">
        <v>-8276.65</v>
      </c>
      <c r="C34" s="42">
        <v>-8276.65</v>
      </c>
      <c r="D34" s="42">
        <v>-8276.65</v>
      </c>
    </row>
    <row r="35" spans="1:4" outlineLevel="3" x14ac:dyDescent="0.3">
      <c r="A35" s="46" t="s">
        <v>214</v>
      </c>
      <c r="B35" s="41">
        <f>B33+B34</f>
        <v>43563.31</v>
      </c>
      <c r="C35" s="41">
        <f>C33+C34</f>
        <v>43563.31</v>
      </c>
      <c r="D35" s="41">
        <f>D33+D34</f>
        <v>43563.31</v>
      </c>
    </row>
    <row r="36" spans="1:4" outlineLevel="2" x14ac:dyDescent="0.3">
      <c r="A36" s="44" t="s">
        <v>213</v>
      </c>
      <c r="B36" s="41">
        <f>B22+B23+B26+B29+B32+B35</f>
        <v>347898.13</v>
      </c>
      <c r="C36" s="41">
        <f>C22+C23+C26+C29+C32+C35</f>
        <v>371591.95</v>
      </c>
      <c r="D36" s="41">
        <f>D22+D23+D26+D29+D32+D35</f>
        <v>350995.70999999996</v>
      </c>
    </row>
    <row r="37" spans="1:4" outlineLevel="2" x14ac:dyDescent="0.3">
      <c r="A37" s="22" t="s">
        <v>212</v>
      </c>
      <c r="B37" s="42">
        <v>8877.85</v>
      </c>
      <c r="C37" s="42">
        <v>8877.85</v>
      </c>
      <c r="D37" s="42">
        <v>8877.85</v>
      </c>
    </row>
    <row r="38" spans="1:4" outlineLevel="3" x14ac:dyDescent="0.3">
      <c r="A38" s="45" t="s">
        <v>100</v>
      </c>
      <c r="B38" s="42">
        <v>-1067.17</v>
      </c>
      <c r="C38" s="42">
        <v>-995.17</v>
      </c>
      <c r="D38" s="42">
        <v>-923.17</v>
      </c>
    </row>
    <row r="39" spans="1:4" outlineLevel="2" x14ac:dyDescent="0.3">
      <c r="A39" s="44" t="s">
        <v>211</v>
      </c>
      <c r="B39" s="41">
        <f>B37+B38</f>
        <v>7810.68</v>
      </c>
      <c r="C39" s="41">
        <f>C37+C38</f>
        <v>7882.68</v>
      </c>
      <c r="D39" s="41">
        <f>D37+D38</f>
        <v>7954.68</v>
      </c>
    </row>
    <row r="40" spans="1:4" outlineLevel="2" x14ac:dyDescent="0.3">
      <c r="A40" s="22" t="s">
        <v>210</v>
      </c>
      <c r="B40" s="42"/>
      <c r="C40" s="42"/>
      <c r="D40" s="42"/>
    </row>
    <row r="41" spans="1:4" outlineLevel="3" x14ac:dyDescent="0.3">
      <c r="A41" s="45" t="s">
        <v>99</v>
      </c>
      <c r="B41" s="42">
        <v>-63215.519999999997</v>
      </c>
      <c r="C41" s="42">
        <v>-49415.519999999997</v>
      </c>
      <c r="D41" s="42">
        <v>-36461.519999999997</v>
      </c>
    </row>
    <row r="42" spans="1:4" outlineLevel="3" x14ac:dyDescent="0.3">
      <c r="A42" s="45" t="s">
        <v>203</v>
      </c>
      <c r="B42" s="42">
        <v>58851.65</v>
      </c>
      <c r="C42" s="42">
        <v>58851.65</v>
      </c>
      <c r="D42" s="42">
        <v>52020.73</v>
      </c>
    </row>
    <row r="43" spans="1:4" outlineLevel="2" x14ac:dyDescent="0.3">
      <c r="A43" s="44" t="s">
        <v>209</v>
      </c>
      <c r="B43" s="41">
        <f>B40+B41+B42</f>
        <v>-4363.8699999999953</v>
      </c>
      <c r="C43" s="41">
        <f>C40+C41+C42</f>
        <v>9436.1300000000047</v>
      </c>
      <c r="D43" s="41">
        <f>D40+D41+D42</f>
        <v>15559.210000000006</v>
      </c>
    </row>
    <row r="44" spans="1:4" outlineLevel="2" x14ac:dyDescent="0.3">
      <c r="A44" s="22" t="s">
        <v>208</v>
      </c>
      <c r="B44" s="42"/>
      <c r="C44" s="42"/>
      <c r="D44" s="42"/>
    </row>
    <row r="45" spans="1:4" outlineLevel="3" x14ac:dyDescent="0.3">
      <c r="A45" s="45" t="s">
        <v>99</v>
      </c>
      <c r="B45" s="42">
        <v>-3782.95</v>
      </c>
      <c r="C45" s="42">
        <v>-3182.95</v>
      </c>
      <c r="D45" s="42">
        <v>-2606.9499999999998</v>
      </c>
    </row>
    <row r="46" spans="1:4" outlineLevel="3" x14ac:dyDescent="0.3">
      <c r="A46" s="45" t="s">
        <v>203</v>
      </c>
      <c r="B46" s="42">
        <v>4744.67</v>
      </c>
      <c r="C46" s="42">
        <v>4744.67</v>
      </c>
      <c r="D46" s="42">
        <v>4744.67</v>
      </c>
    </row>
    <row r="47" spans="1:4" outlineLevel="2" x14ac:dyDescent="0.3">
      <c r="A47" s="44" t="s">
        <v>207</v>
      </c>
      <c r="B47" s="41">
        <f>B44+B45+B46</f>
        <v>961.72000000000025</v>
      </c>
      <c r="C47" s="41">
        <f>C44+C45+C46</f>
        <v>1561.7200000000003</v>
      </c>
      <c r="D47" s="41">
        <f>D44+D45+D46</f>
        <v>2137.7200000000003</v>
      </c>
    </row>
    <row r="48" spans="1:4" outlineLevel="2" x14ac:dyDescent="0.3">
      <c r="A48" s="22" t="s">
        <v>206</v>
      </c>
      <c r="B48" s="42">
        <v>0</v>
      </c>
      <c r="C48" s="42">
        <v>0</v>
      </c>
      <c r="D48" s="42">
        <v>0</v>
      </c>
    </row>
    <row r="49" spans="1:4" outlineLevel="3" x14ac:dyDescent="0.3">
      <c r="A49" s="45" t="s">
        <v>99</v>
      </c>
      <c r="B49" s="42">
        <v>-42840.28</v>
      </c>
      <c r="C49" s="42">
        <v>-38040.28</v>
      </c>
      <c r="D49" s="42">
        <v>-33409.279999999999</v>
      </c>
    </row>
    <row r="50" spans="1:4" outlineLevel="3" x14ac:dyDescent="0.3">
      <c r="A50" s="45" t="s">
        <v>203</v>
      </c>
      <c r="B50" s="42">
        <v>73077.919999999998</v>
      </c>
      <c r="C50" s="42">
        <v>73077.919999999998</v>
      </c>
      <c r="D50" s="42">
        <v>65372.92</v>
      </c>
    </row>
    <row r="51" spans="1:4" outlineLevel="2" x14ac:dyDescent="0.3">
      <c r="A51" s="44" t="s">
        <v>205</v>
      </c>
      <c r="B51" s="41">
        <f>B48+B49+B50</f>
        <v>30237.64</v>
      </c>
      <c r="C51" s="41">
        <f>C48+C49+C50</f>
        <v>35037.64</v>
      </c>
      <c r="D51" s="41">
        <f>D48+D49+D50</f>
        <v>31963.64</v>
      </c>
    </row>
    <row r="52" spans="1:4" outlineLevel="2" x14ac:dyDescent="0.3">
      <c r="A52" s="22" t="s">
        <v>204</v>
      </c>
      <c r="B52" s="42"/>
      <c r="C52" s="42"/>
      <c r="D52" s="42"/>
    </row>
    <row r="53" spans="1:4" outlineLevel="3" x14ac:dyDescent="0.3">
      <c r="A53" s="45" t="s">
        <v>100</v>
      </c>
      <c r="B53" s="42">
        <v>-741.39</v>
      </c>
      <c r="C53" s="42">
        <v>-669.39</v>
      </c>
      <c r="D53" s="42">
        <v>-597.39</v>
      </c>
    </row>
    <row r="54" spans="1:4" outlineLevel="3" x14ac:dyDescent="0.3">
      <c r="A54" s="45" t="s">
        <v>203</v>
      </c>
      <c r="B54" s="42">
        <v>1033.8900000000001</v>
      </c>
      <c r="C54" s="42">
        <v>1033.8900000000001</v>
      </c>
      <c r="D54" s="42">
        <v>1033.8900000000001</v>
      </c>
    </row>
    <row r="55" spans="1:4" outlineLevel="2" x14ac:dyDescent="0.3">
      <c r="A55" s="44" t="s">
        <v>202</v>
      </c>
      <c r="B55" s="41">
        <f>B52+B53+B54</f>
        <v>292.50000000000011</v>
      </c>
      <c r="C55" s="41">
        <f>C52+C53+C54</f>
        <v>364.50000000000011</v>
      </c>
      <c r="D55" s="41">
        <f>D52+D53+D54</f>
        <v>436.50000000000011</v>
      </c>
    </row>
    <row r="56" spans="1:4" outlineLevel="1" x14ac:dyDescent="0.3">
      <c r="A56" s="21" t="s">
        <v>201</v>
      </c>
      <c r="B56" s="17">
        <f>B21+B36+B39+B43+B47+B51+B55</f>
        <v>382836.8</v>
      </c>
      <c r="C56" s="17">
        <f>C21+C36+C39+C43+C47+C51+C55</f>
        <v>425874.62</v>
      </c>
      <c r="D56" s="17">
        <f>D21+D36+D39+D43+D47+D51+D55</f>
        <v>409047.45999999996</v>
      </c>
    </row>
    <row r="57" spans="1:4" x14ac:dyDescent="0.3">
      <c r="A57" s="16" t="s">
        <v>200</v>
      </c>
      <c r="B57" s="17">
        <f>B20+B56</f>
        <v>543940.31000000006</v>
      </c>
      <c r="C57" s="17">
        <f>C20+C56</f>
        <v>574802.5</v>
      </c>
      <c r="D57" s="17">
        <f>D20+D56</f>
        <v>600153.54</v>
      </c>
    </row>
    <row r="58" spans="1:4" x14ac:dyDescent="0.3">
      <c r="A58" s="20" t="s">
        <v>199</v>
      </c>
    </row>
    <row r="59" spans="1:4" outlineLevel="1" x14ac:dyDescent="0.3">
      <c r="A59" s="19" t="s">
        <v>198</v>
      </c>
    </row>
    <row r="60" spans="1:4" outlineLevel="2" x14ac:dyDescent="0.3">
      <c r="A60" s="22" t="s">
        <v>197</v>
      </c>
    </row>
    <row r="61" spans="1:4" outlineLevel="3" x14ac:dyDescent="0.3">
      <c r="A61" s="45" t="s">
        <v>196</v>
      </c>
    </row>
    <row r="62" spans="1:4" outlineLevel="4" x14ac:dyDescent="0.3">
      <c r="A62" s="47" t="s">
        <v>195</v>
      </c>
      <c r="B62" s="42">
        <v>921.28</v>
      </c>
      <c r="C62" s="42">
        <v>17535.919999999998</v>
      </c>
      <c r="D62" s="42">
        <v>961.41</v>
      </c>
    </row>
    <row r="63" spans="1:4" outlineLevel="3" x14ac:dyDescent="0.3">
      <c r="A63" s="46" t="s">
        <v>194</v>
      </c>
      <c r="B63" s="41">
        <f>B61+B62</f>
        <v>921.28</v>
      </c>
      <c r="C63" s="41">
        <f>C61+C62</f>
        <v>17535.919999999998</v>
      </c>
      <c r="D63" s="41">
        <f>D61+D62</f>
        <v>961.41</v>
      </c>
    </row>
    <row r="64" spans="1:4" outlineLevel="3" x14ac:dyDescent="0.3">
      <c r="A64" s="45" t="s">
        <v>193</v>
      </c>
      <c r="B64" s="43"/>
      <c r="C64" s="43"/>
      <c r="D64" s="43"/>
    </row>
    <row r="65" spans="1:4" outlineLevel="4" x14ac:dyDescent="0.3">
      <c r="A65" s="47" t="s">
        <v>192</v>
      </c>
      <c r="B65" s="42">
        <v>0</v>
      </c>
      <c r="C65" s="42">
        <v>1736</v>
      </c>
      <c r="D65" s="42">
        <v>0</v>
      </c>
    </row>
    <row r="66" spans="1:4" outlineLevel="3" x14ac:dyDescent="0.3">
      <c r="A66" s="46" t="s">
        <v>191</v>
      </c>
      <c r="B66" s="41">
        <f>B64+B65</f>
        <v>0</v>
      </c>
      <c r="C66" s="41">
        <f>C64+C65</f>
        <v>1736</v>
      </c>
      <c r="D66" s="41">
        <f>D64+D65</f>
        <v>0</v>
      </c>
    </row>
    <row r="67" spans="1:4" outlineLevel="2" x14ac:dyDescent="0.3">
      <c r="A67" s="44" t="s">
        <v>190</v>
      </c>
      <c r="B67" s="41">
        <f>B60+B63+B66</f>
        <v>921.28</v>
      </c>
      <c r="C67" s="41">
        <f>C60+C63+C66</f>
        <v>19271.919999999998</v>
      </c>
      <c r="D67" s="41">
        <f>D60+D63+D66</f>
        <v>961.41</v>
      </c>
    </row>
    <row r="68" spans="1:4" outlineLevel="2" x14ac:dyDescent="0.3">
      <c r="A68" s="22" t="s">
        <v>189</v>
      </c>
      <c r="B68" s="43"/>
      <c r="C68" s="43"/>
      <c r="D68" s="43"/>
    </row>
    <row r="69" spans="1:4" outlineLevel="3" x14ac:dyDescent="0.3">
      <c r="A69" s="45" t="s">
        <v>188</v>
      </c>
      <c r="B69" s="42">
        <v>352116.46</v>
      </c>
      <c r="C69" s="42">
        <v>365307.05</v>
      </c>
      <c r="D69" s="42">
        <v>377904.62</v>
      </c>
    </row>
    <row r="70" spans="1:4" outlineLevel="2" x14ac:dyDescent="0.3">
      <c r="A70" s="44" t="s">
        <v>187</v>
      </c>
      <c r="B70" s="41">
        <f>B68+B69</f>
        <v>352116.46</v>
      </c>
      <c r="C70" s="41">
        <f>C68+C69</f>
        <v>365307.05</v>
      </c>
      <c r="D70" s="41">
        <f>D68+D69</f>
        <v>377904.62</v>
      </c>
    </row>
    <row r="71" spans="1:4" outlineLevel="1" x14ac:dyDescent="0.3">
      <c r="A71" s="21" t="s">
        <v>186</v>
      </c>
      <c r="B71" s="41">
        <f>B59+B67+B70</f>
        <v>353037.74000000005</v>
      </c>
      <c r="C71" s="41">
        <f>C59+C67+C70</f>
        <v>384578.97</v>
      </c>
      <c r="D71" s="41">
        <f>D59+D67+D70</f>
        <v>378866.02999999997</v>
      </c>
    </row>
    <row r="72" spans="1:4" outlineLevel="1" x14ac:dyDescent="0.3">
      <c r="A72" s="19" t="s">
        <v>185</v>
      </c>
      <c r="B72" s="43"/>
      <c r="C72" s="43"/>
      <c r="D72" s="43"/>
    </row>
    <row r="73" spans="1:4" outlineLevel="2" x14ac:dyDescent="0.3">
      <c r="A73" s="22" t="s">
        <v>184</v>
      </c>
      <c r="B73" s="42">
        <v>636000</v>
      </c>
      <c r="C73" s="42">
        <v>597000</v>
      </c>
      <c r="D73" s="42">
        <v>555500</v>
      </c>
    </row>
    <row r="74" spans="1:4" outlineLevel="2" x14ac:dyDescent="0.3">
      <c r="A74" s="22" t="s">
        <v>183</v>
      </c>
      <c r="B74" s="42">
        <v>70000</v>
      </c>
      <c r="C74" s="42">
        <v>70000</v>
      </c>
      <c r="D74" s="42">
        <v>70000</v>
      </c>
    </row>
    <row r="75" spans="1:4" outlineLevel="2" x14ac:dyDescent="0.3">
      <c r="A75" s="22" t="s">
        <v>182</v>
      </c>
      <c r="B75" s="42">
        <v>-476776.47</v>
      </c>
      <c r="C75" s="42">
        <v>-404212.48999999976</v>
      </c>
      <c r="D75" s="42">
        <v>-288849.15999999986</v>
      </c>
    </row>
    <row r="76" spans="1:4" outlineLevel="2" x14ac:dyDescent="0.3">
      <c r="A76" s="22" t="s">
        <v>84</v>
      </c>
      <c r="B76" s="42">
        <v>-38320.95999999997</v>
      </c>
      <c r="C76" s="42">
        <v>-72563.98000000001</v>
      </c>
      <c r="D76" s="42">
        <v>-115363.32999999996</v>
      </c>
    </row>
    <row r="77" spans="1:4" outlineLevel="1" x14ac:dyDescent="0.3">
      <c r="A77" s="21" t="s">
        <v>181</v>
      </c>
      <c r="B77" s="41">
        <f>B72+B73+B74+B75+B76</f>
        <v>190902.57000000007</v>
      </c>
      <c r="C77" s="41">
        <f>C72+C73+C74+C75+C76</f>
        <v>190223.53000000023</v>
      </c>
      <c r="D77" s="41">
        <f>D72+D73+D74+D75+D76</f>
        <v>221287.51000000018</v>
      </c>
    </row>
    <row r="78" spans="1:4" x14ac:dyDescent="0.3">
      <c r="A78" s="16" t="s">
        <v>180</v>
      </c>
      <c r="B78" s="17">
        <f>B71+B77</f>
        <v>543940.31000000006</v>
      </c>
      <c r="C78" s="17">
        <f>C71+C77</f>
        <v>574802.50000000023</v>
      </c>
      <c r="D78" s="17">
        <f>D71+D77</f>
        <v>600153.54000000015</v>
      </c>
    </row>
    <row r="80" spans="1:4" x14ac:dyDescent="0.3">
      <c r="A80" s="40" t="s">
        <v>92</v>
      </c>
      <c r="B80" s="39"/>
      <c r="C80" s="39"/>
      <c r="D80" s="39"/>
    </row>
    <row r="81" spans="1:4" ht="22.8" customHeight="1" x14ac:dyDescent="0.3">
      <c r="A81" s="18" t="s">
        <v>179</v>
      </c>
    </row>
    <row r="82" spans="1:4" x14ac:dyDescent="0.3">
      <c r="A82" s="18" t="s">
        <v>178</v>
      </c>
    </row>
    <row r="84" spans="1:4" x14ac:dyDescent="0.3">
      <c r="A84" s="14" t="s">
        <v>177</v>
      </c>
      <c r="B84" s="13"/>
      <c r="C84" s="13"/>
      <c r="D84" s="13"/>
    </row>
  </sheetData>
  <mergeCells count="6">
    <mergeCell ref="A84:D84"/>
    <mergeCell ref="A1:D1"/>
    <mergeCell ref="A2:D2"/>
    <mergeCell ref="A3:D3"/>
    <mergeCell ref="B5:D5"/>
    <mergeCell ref="A80:D80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A2F8-BE99-4601-9B3B-4226D2A88C85}">
  <dimension ref="A1:D94"/>
  <sheetViews>
    <sheetView topLeftCell="A74" workbookViewId="0">
      <selection activeCell="G93" sqref="G93"/>
    </sheetView>
  </sheetViews>
  <sheetFormatPr defaultColWidth="12.5546875" defaultRowHeight="15.6" outlineLevelRow="2" x14ac:dyDescent="0.3"/>
  <cols>
    <col min="1" max="1" width="42.77734375" style="12" customWidth="1"/>
    <col min="2" max="2" width="18.88671875" style="12" customWidth="1"/>
    <col min="3" max="3" width="22.44140625" style="12" customWidth="1"/>
    <col min="4" max="4" width="21.21875" style="12" customWidth="1"/>
    <col min="5" max="16384" width="12.5546875" style="11"/>
  </cols>
  <sheetData>
    <row r="1" spans="1:4" x14ac:dyDescent="0.3">
      <c r="A1" s="28" t="s">
        <v>90</v>
      </c>
      <c r="B1" s="13"/>
      <c r="C1" s="13"/>
      <c r="D1" s="13"/>
    </row>
    <row r="2" spans="1:4" x14ac:dyDescent="0.3">
      <c r="A2" s="27" t="s">
        <v>89</v>
      </c>
      <c r="B2" s="13"/>
      <c r="C2" s="13"/>
      <c r="D2" s="13"/>
    </row>
    <row r="3" spans="1:4" x14ac:dyDescent="0.3">
      <c r="A3" s="26" t="s">
        <v>171</v>
      </c>
      <c r="B3" s="13"/>
      <c r="C3" s="13"/>
      <c r="D3" s="13"/>
    </row>
    <row r="5" spans="1:4" x14ac:dyDescent="0.3">
      <c r="A5" s="23" t="s">
        <v>170</v>
      </c>
      <c r="B5" s="25" t="s">
        <v>12</v>
      </c>
      <c r="C5" s="13"/>
      <c r="D5" s="13"/>
    </row>
    <row r="6" spans="1:4" x14ac:dyDescent="0.3">
      <c r="B6" s="24" t="s">
        <v>169</v>
      </c>
      <c r="C6" s="24" t="s">
        <v>175</v>
      </c>
      <c r="D6" s="24" t="s">
        <v>176</v>
      </c>
    </row>
    <row r="7" spans="1:4" x14ac:dyDescent="0.3">
      <c r="A7" s="20" t="s">
        <v>13</v>
      </c>
    </row>
    <row r="8" spans="1:4" outlineLevel="1" x14ac:dyDescent="0.3">
      <c r="A8" s="19" t="s">
        <v>168</v>
      </c>
      <c r="B8" s="31">
        <v>2640</v>
      </c>
      <c r="C8" s="31">
        <v>1553.6</v>
      </c>
      <c r="D8" s="31">
        <v>815</v>
      </c>
    </row>
    <row r="9" spans="1:4" outlineLevel="1" x14ac:dyDescent="0.3">
      <c r="A9" s="19" t="s">
        <v>167</v>
      </c>
      <c r="B9" s="31">
        <v>5650</v>
      </c>
      <c r="C9" s="31"/>
      <c r="D9" s="31"/>
    </row>
    <row r="10" spans="1:4" outlineLevel="1" x14ac:dyDescent="0.3">
      <c r="A10" s="19" t="s">
        <v>166</v>
      </c>
      <c r="B10" s="31">
        <v>321323.11</v>
      </c>
      <c r="C10" s="31">
        <v>305173.05</v>
      </c>
      <c r="D10" s="31">
        <v>288270.14</v>
      </c>
    </row>
    <row r="11" spans="1:4" outlineLevel="1" x14ac:dyDescent="0.3">
      <c r="A11" s="19" t="s">
        <v>165</v>
      </c>
      <c r="B11" s="31">
        <v>28400.25</v>
      </c>
      <c r="C11" s="31">
        <v>29850</v>
      </c>
      <c r="D11" s="31">
        <v>27460</v>
      </c>
    </row>
    <row r="12" spans="1:4" outlineLevel="1" x14ac:dyDescent="0.3">
      <c r="A12" s="19" t="s">
        <v>164</v>
      </c>
      <c r="B12" s="31">
        <v>297.18</v>
      </c>
      <c r="C12" s="31"/>
      <c r="D12" s="31"/>
    </row>
    <row r="13" spans="1:4" outlineLevel="1" x14ac:dyDescent="0.3">
      <c r="A13" s="19" t="s">
        <v>163</v>
      </c>
      <c r="B13" s="31">
        <v>268.07</v>
      </c>
      <c r="C13" s="31">
        <v>200</v>
      </c>
      <c r="D13" s="31"/>
    </row>
    <row r="14" spans="1:4" outlineLevel="1" x14ac:dyDescent="0.3">
      <c r="A14" s="19" t="s">
        <v>162</v>
      </c>
      <c r="B14" s="31">
        <v>10043</v>
      </c>
      <c r="C14" s="31">
        <v>10947.27</v>
      </c>
      <c r="D14" s="31">
        <v>8247.67</v>
      </c>
    </row>
    <row r="15" spans="1:4" outlineLevel="1" x14ac:dyDescent="0.3">
      <c r="A15" s="19" t="s">
        <v>161</v>
      </c>
      <c r="B15" s="31">
        <v>17396</v>
      </c>
      <c r="C15" s="31">
        <v>13965.64</v>
      </c>
      <c r="D15" s="31">
        <v>14816.81</v>
      </c>
    </row>
    <row r="16" spans="1:4" outlineLevel="1" x14ac:dyDescent="0.3">
      <c r="A16" s="19" t="s">
        <v>160</v>
      </c>
      <c r="B16" s="31">
        <v>600</v>
      </c>
      <c r="C16" s="31">
        <v>740</v>
      </c>
      <c r="D16" s="31"/>
    </row>
    <row r="17" spans="1:4" outlineLevel="1" x14ac:dyDescent="0.3">
      <c r="A17" s="19" t="s">
        <v>159</v>
      </c>
      <c r="B17" s="31">
        <v>2690.5</v>
      </c>
      <c r="C17" s="31">
        <v>2784.51</v>
      </c>
      <c r="D17" s="31">
        <v>1989.66</v>
      </c>
    </row>
    <row r="18" spans="1:4" outlineLevel="1" x14ac:dyDescent="0.3">
      <c r="A18" s="19" t="s">
        <v>158</v>
      </c>
      <c r="B18" s="31">
        <v>50</v>
      </c>
      <c r="C18" s="31"/>
      <c r="D18" s="31"/>
    </row>
    <row r="19" spans="1:4" outlineLevel="1" x14ac:dyDescent="0.3">
      <c r="A19" s="19" t="s">
        <v>157</v>
      </c>
      <c r="B19" s="31"/>
      <c r="C19" s="31">
        <v>-1636.98</v>
      </c>
      <c r="D19" s="31">
        <v>-840.17</v>
      </c>
    </row>
    <row r="20" spans="1:4" outlineLevel="1" x14ac:dyDescent="0.3">
      <c r="A20" s="19" t="s">
        <v>156</v>
      </c>
      <c r="B20" s="31"/>
      <c r="C20" s="31">
        <v>8550</v>
      </c>
      <c r="D20" s="31">
        <v>9650</v>
      </c>
    </row>
    <row r="21" spans="1:4" outlineLevel="1" x14ac:dyDescent="0.3">
      <c r="A21" s="19" t="s">
        <v>155</v>
      </c>
      <c r="B21" s="31"/>
      <c r="C21" s="31"/>
      <c r="D21" s="31">
        <v>1000</v>
      </c>
    </row>
    <row r="22" spans="1:4" x14ac:dyDescent="0.3">
      <c r="A22" s="16" t="s">
        <v>154</v>
      </c>
      <c r="B22" s="32">
        <f>B8+B9+B10+B11+B12+B13+B14+B15+B16+B17+B18+B19+B20+B21</f>
        <v>389358.11</v>
      </c>
      <c r="C22" s="32">
        <f>C8+C9+C10+C11+C12+C13+C14+C15+C16+C17+C18+C19+C20+C21</f>
        <v>372127.09</v>
      </c>
      <c r="D22" s="32">
        <f>D8+D9+D10+D11+D12+D13+D14+D15+D16+D17+D18+D19+D20+D21</f>
        <v>351409.11</v>
      </c>
    </row>
    <row r="23" spans="1:4" x14ac:dyDescent="0.3">
      <c r="A23" s="20" t="s">
        <v>26</v>
      </c>
      <c r="B23" s="33"/>
      <c r="C23" s="33"/>
      <c r="D23" s="33"/>
    </row>
    <row r="24" spans="1:4" outlineLevel="1" x14ac:dyDescent="0.3">
      <c r="A24" s="19" t="s">
        <v>153</v>
      </c>
      <c r="B24" s="31"/>
      <c r="C24" s="31"/>
      <c r="D24" s="31"/>
    </row>
    <row r="25" spans="1:4" outlineLevel="2" x14ac:dyDescent="0.3">
      <c r="A25" s="22" t="s">
        <v>152</v>
      </c>
      <c r="B25" s="31">
        <v>21901.200000000001</v>
      </c>
      <c r="C25" s="31">
        <v>15156.03</v>
      </c>
      <c r="D25" s="31">
        <v>23425.73</v>
      </c>
    </row>
    <row r="26" spans="1:4" outlineLevel="2" x14ac:dyDescent="0.3">
      <c r="A26" s="22" t="s">
        <v>151</v>
      </c>
      <c r="B26" s="31">
        <v>22221</v>
      </c>
      <c r="C26" s="31">
        <v>18120</v>
      </c>
      <c r="D26" s="31">
        <v>13968.6</v>
      </c>
    </row>
    <row r="27" spans="1:4" outlineLevel="2" x14ac:dyDescent="0.3">
      <c r="A27" s="22" t="s">
        <v>150</v>
      </c>
      <c r="B27" s="31"/>
      <c r="C27" s="31"/>
      <c r="D27" s="31">
        <v>887.94</v>
      </c>
    </row>
    <row r="28" spans="1:4" outlineLevel="1" x14ac:dyDescent="0.3">
      <c r="A28" s="21" t="s">
        <v>149</v>
      </c>
      <c r="B28" s="32">
        <f>B24+B25+B26+B27</f>
        <v>44122.2</v>
      </c>
      <c r="C28" s="32">
        <f>C24+C25+C26+C27</f>
        <v>33276.03</v>
      </c>
      <c r="D28" s="32">
        <f>D24+D25+D26+D27</f>
        <v>38282.270000000004</v>
      </c>
    </row>
    <row r="29" spans="1:4" outlineLevel="1" x14ac:dyDescent="0.3">
      <c r="A29" s="19" t="s">
        <v>148</v>
      </c>
      <c r="B29" s="31"/>
      <c r="C29" s="31"/>
      <c r="D29" s="31"/>
    </row>
    <row r="30" spans="1:4" outlineLevel="2" x14ac:dyDescent="0.3">
      <c r="A30" s="22" t="s">
        <v>147</v>
      </c>
      <c r="B30" s="31">
        <v>7643.91</v>
      </c>
      <c r="C30" s="31">
        <v>20919.66</v>
      </c>
      <c r="D30" s="31">
        <v>20488.86</v>
      </c>
    </row>
    <row r="31" spans="1:4" outlineLevel="2" x14ac:dyDescent="0.3">
      <c r="A31" s="22" t="s">
        <v>146</v>
      </c>
      <c r="B31" s="31">
        <v>72350.92</v>
      </c>
      <c r="C31" s="31">
        <v>63247.93</v>
      </c>
      <c r="D31" s="31">
        <v>57638.2</v>
      </c>
    </row>
    <row r="32" spans="1:4" outlineLevel="2" x14ac:dyDescent="0.3">
      <c r="A32" s="22" t="s">
        <v>145</v>
      </c>
      <c r="B32" s="31">
        <v>7976.86</v>
      </c>
      <c r="C32" s="31">
        <v>6797.07</v>
      </c>
      <c r="D32" s="31">
        <v>5997.6</v>
      </c>
    </row>
    <row r="33" spans="1:4" outlineLevel="2" x14ac:dyDescent="0.3">
      <c r="A33" s="22" t="s">
        <v>144</v>
      </c>
      <c r="B33" s="31">
        <v>26630.87</v>
      </c>
      <c r="C33" s="31">
        <v>30502.89</v>
      </c>
      <c r="D33" s="31">
        <v>33762.42</v>
      </c>
    </row>
    <row r="34" spans="1:4" outlineLevel="1" x14ac:dyDescent="0.3">
      <c r="A34" s="21" t="s">
        <v>143</v>
      </c>
      <c r="B34" s="32">
        <f>B29+B30+B31+B32+B33</f>
        <v>114602.56</v>
      </c>
      <c r="C34" s="32">
        <f>C29+C30+C31+C32+C33</f>
        <v>121467.55</v>
      </c>
      <c r="D34" s="32">
        <f>D29+D30+D31+D32+D33</f>
        <v>117887.08</v>
      </c>
    </row>
    <row r="35" spans="1:4" outlineLevel="1" x14ac:dyDescent="0.3">
      <c r="A35" s="19" t="s">
        <v>142</v>
      </c>
      <c r="B35" s="31"/>
      <c r="C35" s="31"/>
      <c r="D35" s="31"/>
    </row>
    <row r="36" spans="1:4" outlineLevel="2" x14ac:dyDescent="0.3">
      <c r="A36" s="22" t="s">
        <v>141</v>
      </c>
      <c r="B36" s="31">
        <v>11463.75</v>
      </c>
      <c r="C36" s="31">
        <v>9869.94</v>
      </c>
      <c r="D36" s="31">
        <v>9607.7099999999991</v>
      </c>
    </row>
    <row r="37" spans="1:4" outlineLevel="2" x14ac:dyDescent="0.3">
      <c r="A37" s="22" t="s">
        <v>140</v>
      </c>
      <c r="B37" s="31">
        <v>1038.6300000000001</v>
      </c>
      <c r="C37" s="31">
        <v>908.03</v>
      </c>
      <c r="D37" s="31">
        <v>883.9</v>
      </c>
    </row>
    <row r="38" spans="1:4" outlineLevel="2" x14ac:dyDescent="0.3">
      <c r="A38" s="22" t="s">
        <v>139</v>
      </c>
      <c r="B38" s="31">
        <v>7610.06</v>
      </c>
      <c r="C38" s="31">
        <v>7631.25</v>
      </c>
      <c r="D38" s="31">
        <v>8752.18</v>
      </c>
    </row>
    <row r="39" spans="1:4" outlineLevel="2" x14ac:dyDescent="0.3">
      <c r="A39" s="22" t="s">
        <v>138</v>
      </c>
      <c r="B39" s="31">
        <v>2455</v>
      </c>
      <c r="C39" s="31">
        <v>1780</v>
      </c>
      <c r="D39" s="31">
        <v>1940</v>
      </c>
    </row>
    <row r="40" spans="1:4" outlineLevel="1" x14ac:dyDescent="0.3">
      <c r="A40" s="21" t="s">
        <v>137</v>
      </c>
      <c r="B40" s="32">
        <f>B35+B36+B37+B38+B39</f>
        <v>22567.440000000002</v>
      </c>
      <c r="C40" s="32">
        <f>C35+C36+C37+C38+C39</f>
        <v>20189.22</v>
      </c>
      <c r="D40" s="32">
        <f>D35+D36+D37+D38+D39</f>
        <v>21183.79</v>
      </c>
    </row>
    <row r="41" spans="1:4" outlineLevel="1" x14ac:dyDescent="0.3">
      <c r="A41" s="19" t="s">
        <v>136</v>
      </c>
      <c r="B41" s="31"/>
      <c r="C41" s="31"/>
      <c r="D41" s="31"/>
    </row>
    <row r="42" spans="1:4" outlineLevel="2" x14ac:dyDescent="0.3">
      <c r="A42" s="22" t="s">
        <v>135</v>
      </c>
      <c r="B42" s="31">
        <v>72300</v>
      </c>
      <c r="C42" s="31">
        <v>62400</v>
      </c>
      <c r="D42" s="31">
        <v>60000</v>
      </c>
    </row>
    <row r="43" spans="1:4" outlineLevel="2" x14ac:dyDescent="0.3">
      <c r="A43" s="22" t="s">
        <v>134</v>
      </c>
      <c r="B43" s="31">
        <v>18788.38</v>
      </c>
      <c r="C43" s="31">
        <v>51259.44</v>
      </c>
      <c r="D43" s="31">
        <v>14879.46</v>
      </c>
    </row>
    <row r="44" spans="1:4" outlineLevel="2" x14ac:dyDescent="0.3">
      <c r="A44" s="22" t="s">
        <v>133</v>
      </c>
      <c r="B44" s="31">
        <v>832.42</v>
      </c>
      <c r="C44" s="31">
        <v>8023.16</v>
      </c>
      <c r="D44" s="31">
        <v>7153.04</v>
      </c>
    </row>
    <row r="45" spans="1:4" outlineLevel="2" x14ac:dyDescent="0.3">
      <c r="A45" s="22" t="s">
        <v>132</v>
      </c>
      <c r="B45" s="31">
        <v>200</v>
      </c>
      <c r="C45" s="31"/>
      <c r="D45" s="31"/>
    </row>
    <row r="46" spans="1:4" outlineLevel="2" x14ac:dyDescent="0.3">
      <c r="A46" s="22" t="s">
        <v>131</v>
      </c>
      <c r="B46" s="31"/>
      <c r="C46" s="31">
        <v>680</v>
      </c>
      <c r="D46" s="31">
        <v>1115.4000000000001</v>
      </c>
    </row>
    <row r="47" spans="1:4" outlineLevel="1" x14ac:dyDescent="0.3">
      <c r="A47" s="21" t="s">
        <v>130</v>
      </c>
      <c r="B47" s="32">
        <f>B41+B42+B43+B44+B45+B46</f>
        <v>92120.8</v>
      </c>
      <c r="C47" s="32">
        <f>C41+C42+C43+C44+C45+C46</f>
        <v>122362.6</v>
      </c>
      <c r="D47" s="32">
        <f>D41+D42+D43+D44+D45+D46</f>
        <v>83147.89999999998</v>
      </c>
    </row>
    <row r="48" spans="1:4" outlineLevel="1" x14ac:dyDescent="0.3">
      <c r="A48" s="19" t="s">
        <v>129</v>
      </c>
      <c r="B48" s="31"/>
      <c r="C48" s="31"/>
      <c r="D48" s="31"/>
    </row>
    <row r="49" spans="1:4" outlineLevel="2" x14ac:dyDescent="0.3">
      <c r="A49" s="22" t="s">
        <v>128</v>
      </c>
      <c r="B49" s="31">
        <v>15063.68</v>
      </c>
      <c r="C49" s="31">
        <v>17261.52</v>
      </c>
      <c r="D49" s="31">
        <v>14151.74</v>
      </c>
    </row>
    <row r="50" spans="1:4" outlineLevel="2" x14ac:dyDescent="0.3">
      <c r="A50" s="22" t="s">
        <v>127</v>
      </c>
      <c r="B50" s="31">
        <v>2931.96</v>
      </c>
      <c r="C50" s="31">
        <v>2846.36</v>
      </c>
      <c r="D50" s="31">
        <v>3256.86</v>
      </c>
    </row>
    <row r="51" spans="1:4" outlineLevel="2" x14ac:dyDescent="0.3">
      <c r="A51" s="22" t="s">
        <v>126</v>
      </c>
      <c r="B51" s="31">
        <v>10241.73</v>
      </c>
      <c r="C51" s="31">
        <v>8816.77</v>
      </c>
      <c r="D51" s="31">
        <v>8781.7199999999993</v>
      </c>
    </row>
    <row r="52" spans="1:4" outlineLevel="1" x14ac:dyDescent="0.3">
      <c r="A52" s="21" t="s">
        <v>125</v>
      </c>
      <c r="B52" s="32">
        <f>B48+B49+B50+B51</f>
        <v>28237.37</v>
      </c>
      <c r="C52" s="32">
        <f>C48+C49+C50+C51</f>
        <v>28924.65</v>
      </c>
      <c r="D52" s="32">
        <f>D48+D49+D50+D51</f>
        <v>26190.32</v>
      </c>
    </row>
    <row r="53" spans="1:4" outlineLevel="1" x14ac:dyDescent="0.3">
      <c r="A53" s="19" t="s">
        <v>124</v>
      </c>
      <c r="B53" s="31">
        <v>1558.01</v>
      </c>
      <c r="C53" s="31"/>
      <c r="D53" s="31"/>
    </row>
    <row r="54" spans="1:4" x14ac:dyDescent="0.3">
      <c r="A54" s="16" t="s">
        <v>123</v>
      </c>
      <c r="B54" s="32">
        <f>B28+B34+B40+B47+B52+B53</f>
        <v>303208.38</v>
      </c>
      <c r="C54" s="32">
        <f>C28+C34+C40+C47+C52+C53</f>
        <v>326220.05000000005</v>
      </c>
      <c r="D54" s="32">
        <f>D28+D34+D40+D47+D52+D53</f>
        <v>286691.36</v>
      </c>
    </row>
    <row r="55" spans="1:4" x14ac:dyDescent="0.3">
      <c r="A55" s="16" t="s">
        <v>56</v>
      </c>
      <c r="B55" s="32">
        <f>B22-B54</f>
        <v>86149.729999999981</v>
      </c>
      <c r="C55" s="32">
        <f>C22-C54</f>
        <v>45907.039999999979</v>
      </c>
      <c r="D55" s="32">
        <f>D22-D54</f>
        <v>64717.75</v>
      </c>
    </row>
    <row r="56" spans="1:4" x14ac:dyDescent="0.3">
      <c r="A56" s="20" t="s">
        <v>57</v>
      </c>
      <c r="B56" s="33"/>
      <c r="C56" s="33"/>
      <c r="D56" s="33"/>
    </row>
    <row r="57" spans="1:4" outlineLevel="1" x14ac:dyDescent="0.3">
      <c r="A57" s="19" t="s">
        <v>122</v>
      </c>
      <c r="B57" s="31">
        <v>700</v>
      </c>
      <c r="C57" s="31">
        <v>2532.2600000000002</v>
      </c>
      <c r="D57" s="31">
        <v>530.09</v>
      </c>
    </row>
    <row r="58" spans="1:4" outlineLevel="1" x14ac:dyDescent="0.3">
      <c r="A58" s="19" t="s">
        <v>121</v>
      </c>
      <c r="B58" s="31">
        <v>4702.9799999999996</v>
      </c>
      <c r="C58" s="31">
        <v>797.99</v>
      </c>
      <c r="D58" s="31">
        <v>1309.6500000000001</v>
      </c>
    </row>
    <row r="59" spans="1:4" outlineLevel="1" x14ac:dyDescent="0.3">
      <c r="A59" s="19" t="s">
        <v>120</v>
      </c>
      <c r="B59" s="31">
        <v>212.39</v>
      </c>
      <c r="C59" s="31">
        <v>398.7</v>
      </c>
      <c r="D59" s="31"/>
    </row>
    <row r="60" spans="1:4" outlineLevel="1" x14ac:dyDescent="0.3">
      <c r="A60" s="19" t="s">
        <v>119</v>
      </c>
      <c r="B60" s="31">
        <v>93.44</v>
      </c>
      <c r="C60" s="31"/>
      <c r="D60" s="31"/>
    </row>
    <row r="61" spans="1:4" outlineLevel="1" x14ac:dyDescent="0.3">
      <c r="A61" s="19" t="s">
        <v>118</v>
      </c>
      <c r="B61" s="31">
        <v>20889</v>
      </c>
      <c r="C61" s="31">
        <v>18889</v>
      </c>
      <c r="D61" s="31">
        <v>18057</v>
      </c>
    </row>
    <row r="62" spans="1:4" outlineLevel="1" x14ac:dyDescent="0.3">
      <c r="A62" s="19" t="s">
        <v>117</v>
      </c>
      <c r="B62" s="31">
        <v>10023</v>
      </c>
      <c r="C62" s="31">
        <v>8073</v>
      </c>
      <c r="D62" s="31">
        <v>7768</v>
      </c>
    </row>
    <row r="63" spans="1:4" outlineLevel="1" x14ac:dyDescent="0.3">
      <c r="A63" s="19" t="s">
        <v>116</v>
      </c>
      <c r="B63" s="31">
        <v>738.9</v>
      </c>
      <c r="C63" s="31">
        <v>393.21</v>
      </c>
      <c r="D63" s="31">
        <v>438.04</v>
      </c>
    </row>
    <row r="64" spans="1:4" outlineLevel="1" x14ac:dyDescent="0.3">
      <c r="A64" s="19" t="s">
        <v>115</v>
      </c>
      <c r="B64" s="31">
        <v>22.42</v>
      </c>
      <c r="C64" s="31">
        <v>268.38</v>
      </c>
      <c r="D64" s="31">
        <v>318</v>
      </c>
    </row>
    <row r="65" spans="1:4" outlineLevel="1" x14ac:dyDescent="0.3">
      <c r="A65" s="19" t="s">
        <v>114</v>
      </c>
      <c r="B65" s="31">
        <v>1971.52</v>
      </c>
      <c r="C65" s="31">
        <v>1228.54</v>
      </c>
      <c r="D65" s="31">
        <v>1408.9</v>
      </c>
    </row>
    <row r="66" spans="1:4" outlineLevel="1" x14ac:dyDescent="0.3">
      <c r="A66" s="19" t="s">
        <v>113</v>
      </c>
      <c r="B66" s="31">
        <v>600</v>
      </c>
      <c r="C66" s="31"/>
      <c r="D66" s="31"/>
    </row>
    <row r="67" spans="1:4" outlineLevel="1" x14ac:dyDescent="0.3">
      <c r="A67" s="19" t="s">
        <v>112</v>
      </c>
      <c r="B67" s="31">
        <v>11586.76</v>
      </c>
      <c r="C67" s="31">
        <v>11545.28</v>
      </c>
      <c r="D67" s="31">
        <v>11338.44</v>
      </c>
    </row>
    <row r="68" spans="1:4" outlineLevel="1" x14ac:dyDescent="0.3">
      <c r="A68" s="19" t="s">
        <v>111</v>
      </c>
      <c r="B68" s="31">
        <v>1461.58</v>
      </c>
      <c r="C68" s="31">
        <v>4705.8100000000004</v>
      </c>
      <c r="D68" s="31">
        <v>7970.43</v>
      </c>
    </row>
    <row r="69" spans="1:4" outlineLevel="1" x14ac:dyDescent="0.3">
      <c r="A69" s="19" t="s">
        <v>110</v>
      </c>
      <c r="B69" s="31">
        <v>4502.12</v>
      </c>
      <c r="C69" s="31">
        <v>3789.79</v>
      </c>
      <c r="D69" s="31">
        <v>8327.5400000000009</v>
      </c>
    </row>
    <row r="70" spans="1:4" outlineLevel="1" x14ac:dyDescent="0.3">
      <c r="A70" s="19" t="s">
        <v>109</v>
      </c>
      <c r="B70" s="31">
        <v>2308.38</v>
      </c>
      <c r="C70" s="31">
        <v>2864.94</v>
      </c>
      <c r="D70" s="31">
        <v>2887.53</v>
      </c>
    </row>
    <row r="71" spans="1:4" outlineLevel="1" x14ac:dyDescent="0.3">
      <c r="A71" s="19" t="s">
        <v>108</v>
      </c>
      <c r="B71" s="31">
        <v>1592.42</v>
      </c>
      <c r="C71" s="31">
        <v>58.7</v>
      </c>
      <c r="D71" s="31">
        <v>1404.47</v>
      </c>
    </row>
    <row r="72" spans="1:4" outlineLevel="1" x14ac:dyDescent="0.3">
      <c r="A72" s="19" t="s">
        <v>107</v>
      </c>
      <c r="B72" s="31">
        <v>1750</v>
      </c>
      <c r="C72" s="31">
        <v>3500</v>
      </c>
      <c r="D72" s="31">
        <v>3605.43</v>
      </c>
    </row>
    <row r="73" spans="1:4" outlineLevel="1" x14ac:dyDescent="0.3">
      <c r="A73" s="19" t="s">
        <v>106</v>
      </c>
      <c r="B73" s="31"/>
      <c r="C73" s="31">
        <v>0</v>
      </c>
      <c r="D73" s="31">
        <v>8</v>
      </c>
    </row>
    <row r="74" spans="1:4" outlineLevel="1" x14ac:dyDescent="0.3">
      <c r="A74" s="19" t="s">
        <v>105</v>
      </c>
      <c r="B74" s="31"/>
      <c r="C74" s="31">
        <v>4500</v>
      </c>
      <c r="D74" s="31"/>
    </row>
    <row r="75" spans="1:4" outlineLevel="1" x14ac:dyDescent="0.3">
      <c r="A75" s="19" t="s">
        <v>104</v>
      </c>
      <c r="B75" s="31"/>
      <c r="C75" s="31">
        <v>-4750</v>
      </c>
      <c r="D75" s="31"/>
    </row>
    <row r="76" spans="1:4" x14ac:dyDescent="0.3">
      <c r="A76" s="16" t="s">
        <v>103</v>
      </c>
      <c r="B76" s="32">
        <f>SUM(B57:B75)</f>
        <v>63154.909999999996</v>
      </c>
      <c r="C76" s="32">
        <f t="shared" ref="C76:D76" si="0">SUM(C57:C75)</f>
        <v>58795.6</v>
      </c>
      <c r="D76" s="32">
        <f t="shared" si="0"/>
        <v>65371.520000000004</v>
      </c>
    </row>
    <row r="77" spans="1:4" x14ac:dyDescent="0.3">
      <c r="A77" s="16" t="s">
        <v>76</v>
      </c>
      <c r="B77" s="32">
        <f>B55-B76</f>
        <v>22994.819999999985</v>
      </c>
      <c r="C77" s="32">
        <f>C55-C76</f>
        <v>-12888.560000000019</v>
      </c>
      <c r="D77" s="32">
        <f>D55-D76</f>
        <v>-653.77000000000407</v>
      </c>
    </row>
    <row r="78" spans="1:4" x14ac:dyDescent="0.3">
      <c r="A78" s="20" t="s">
        <v>77</v>
      </c>
      <c r="B78" s="33"/>
      <c r="C78" s="33"/>
      <c r="D78" s="33"/>
    </row>
    <row r="79" spans="1:4" outlineLevel="1" x14ac:dyDescent="0.3">
      <c r="A79" s="19" t="s">
        <v>102</v>
      </c>
      <c r="B79" s="31">
        <v>515.04999999999995</v>
      </c>
      <c r="C79" s="31">
        <v>840.01</v>
      </c>
      <c r="D79" s="31">
        <v>1372.55</v>
      </c>
    </row>
    <row r="80" spans="1:4" x14ac:dyDescent="0.3">
      <c r="A80" s="16" t="s">
        <v>101</v>
      </c>
      <c r="B80" s="32">
        <f>B79</f>
        <v>515.04999999999995</v>
      </c>
      <c r="C80" s="32">
        <f>C79</f>
        <v>840.01</v>
      </c>
      <c r="D80" s="32">
        <f>D79</f>
        <v>1372.55</v>
      </c>
    </row>
    <row r="81" spans="1:4" x14ac:dyDescent="0.3">
      <c r="A81" s="20" t="s">
        <v>80</v>
      </c>
      <c r="B81" s="33"/>
      <c r="C81" s="33"/>
      <c r="D81" s="33"/>
    </row>
    <row r="82" spans="1:4" outlineLevel="1" x14ac:dyDescent="0.3">
      <c r="A82" s="19" t="s">
        <v>100</v>
      </c>
      <c r="B82" s="31">
        <v>144</v>
      </c>
      <c r="C82" s="31">
        <v>144</v>
      </c>
      <c r="D82" s="31">
        <v>129</v>
      </c>
    </row>
    <row r="83" spans="1:4" outlineLevel="1" x14ac:dyDescent="0.3">
      <c r="A83" s="19" t="s">
        <v>173</v>
      </c>
      <c r="B83" s="31">
        <v>43200</v>
      </c>
      <c r="C83" s="31">
        <v>41628</v>
      </c>
      <c r="D83" s="31">
        <v>97903.66</v>
      </c>
    </row>
    <row r="84" spans="1:4" outlineLevel="1" x14ac:dyDescent="0.3">
      <c r="A84" s="19" t="s">
        <v>172</v>
      </c>
      <c r="B84" s="31">
        <v>18150.41</v>
      </c>
      <c r="C84" s="31">
        <v>18743.43</v>
      </c>
      <c r="D84" s="31">
        <v>18049.45</v>
      </c>
    </row>
    <row r="85" spans="1:4" outlineLevel="1" x14ac:dyDescent="0.3">
      <c r="A85" s="19" t="s">
        <v>174</v>
      </c>
      <c r="B85" s="31">
        <v>336.42</v>
      </c>
      <c r="C85" s="31"/>
      <c r="D85" s="31"/>
    </row>
    <row r="86" spans="1:4" x14ac:dyDescent="0.3">
      <c r="A86" s="16" t="s">
        <v>98</v>
      </c>
      <c r="B86" s="32">
        <f>B82+B83+B84+B85</f>
        <v>61830.83</v>
      </c>
      <c r="C86" s="32">
        <f>C82+C83+C84+C85</f>
        <v>60515.43</v>
      </c>
      <c r="D86" s="32">
        <f>D82+D83+D84+D85</f>
        <v>116082.11</v>
      </c>
    </row>
    <row r="87" spans="1:4" x14ac:dyDescent="0.3">
      <c r="A87" s="16" t="s">
        <v>83</v>
      </c>
      <c r="B87" s="32">
        <f>B80-B86</f>
        <v>-61315.78</v>
      </c>
      <c r="C87" s="32">
        <f>C80-C86</f>
        <v>-59675.42</v>
      </c>
      <c r="D87" s="32">
        <f>D80-D86</f>
        <v>-114709.56</v>
      </c>
    </row>
    <row r="88" spans="1:4" ht="16.2" thickBot="1" x14ac:dyDescent="0.35">
      <c r="A88" s="16" t="s">
        <v>84</v>
      </c>
      <c r="B88" s="34">
        <f>B77+B87</f>
        <v>-38320.960000000014</v>
      </c>
      <c r="C88" s="34">
        <f>C77+C87</f>
        <v>-72563.98000000001</v>
      </c>
      <c r="D88" s="34">
        <f>D77+D87</f>
        <v>-115363.33</v>
      </c>
    </row>
    <row r="89" spans="1:4" ht="16.2" thickTop="1" x14ac:dyDescent="0.3"/>
    <row r="90" spans="1:4" x14ac:dyDescent="0.3">
      <c r="A90" s="30" t="s">
        <v>92</v>
      </c>
      <c r="B90" s="29"/>
      <c r="C90" s="29"/>
      <c r="D90" s="29"/>
    </row>
    <row r="91" spans="1:4" ht="45.6" customHeight="1" x14ac:dyDescent="0.3">
      <c r="A91" s="15" t="s">
        <v>97</v>
      </c>
      <c r="B91" s="13"/>
      <c r="C91" s="13"/>
      <c r="D91" s="13"/>
    </row>
    <row r="94" spans="1:4" x14ac:dyDescent="0.3">
      <c r="A94" s="14" t="s">
        <v>96</v>
      </c>
      <c r="B94" s="13"/>
      <c r="C94" s="13"/>
      <c r="D94" s="13"/>
    </row>
  </sheetData>
  <mergeCells count="7">
    <mergeCell ref="A91:D91"/>
    <mergeCell ref="A94:D94"/>
    <mergeCell ref="A1:D1"/>
    <mergeCell ref="A2:D2"/>
    <mergeCell ref="A3:D3"/>
    <mergeCell ref="B5:D5"/>
    <mergeCell ref="A90:D90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opLeftCell="A61" workbookViewId="0">
      <selection activeCell="A87" sqref="A87:N87"/>
    </sheetView>
  </sheetViews>
  <sheetFormatPr defaultRowHeight="14.4" x14ac:dyDescent="0.3"/>
  <cols>
    <col min="1" max="1" width="39.5546875" customWidth="1"/>
    <col min="2" max="2" width="11.21875" customWidth="1"/>
    <col min="3" max="14" width="12" customWidth="1"/>
  </cols>
  <sheetData>
    <row r="1" spans="1:14" ht="17.399999999999999" x14ac:dyDescent="0.3">
      <c r="A1" s="9" t="s">
        <v>89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7.399999999999999" x14ac:dyDescent="0.3">
      <c r="A2" s="9" t="s">
        <v>90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3">
      <c r="A3" s="10" t="s">
        <v>91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5" spans="1:14" x14ac:dyDescent="0.3">
      <c r="A5" s="1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</row>
    <row r="6" spans="1:14" x14ac:dyDescent="0.3">
      <c r="A6" s="3" t="s">
        <v>13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x14ac:dyDescent="0.3">
      <c r="A7" s="3" t="s">
        <v>14</v>
      </c>
      <c r="B7" s="35"/>
      <c r="C7" s="35"/>
      <c r="D7" s="35"/>
      <c r="E7" s="35"/>
      <c r="F7" s="36">
        <f>140</f>
        <v>140</v>
      </c>
      <c r="G7" s="36">
        <f>1800</f>
        <v>1800</v>
      </c>
      <c r="H7" s="36">
        <f>50</f>
        <v>50</v>
      </c>
      <c r="I7" s="35"/>
      <c r="J7" s="36">
        <f>650</f>
        <v>650</v>
      </c>
      <c r="K7" s="35"/>
      <c r="L7" s="35"/>
      <c r="M7" s="35"/>
      <c r="N7" s="36">
        <f t="shared" ref="N7:N18" si="0">(((((((((((B7)+(C7))+(D7))+(E7))+(F7))+(G7))+(H7))+(I7))+(J7))+(K7))+(L7))+(M7)</f>
        <v>2640</v>
      </c>
    </row>
    <row r="8" spans="1:14" x14ac:dyDescent="0.3">
      <c r="A8" s="3" t="s">
        <v>15</v>
      </c>
      <c r="B8" s="35"/>
      <c r="C8" s="35"/>
      <c r="D8" s="36">
        <f>2200</f>
        <v>2200</v>
      </c>
      <c r="E8" s="36">
        <f>3450</f>
        <v>3450</v>
      </c>
      <c r="F8" s="35"/>
      <c r="G8" s="35"/>
      <c r="H8" s="35"/>
      <c r="I8" s="35"/>
      <c r="J8" s="35"/>
      <c r="K8" s="35"/>
      <c r="L8" s="35"/>
      <c r="M8" s="35"/>
      <c r="N8" s="36">
        <f t="shared" si="0"/>
        <v>5650</v>
      </c>
    </row>
    <row r="9" spans="1:14" x14ac:dyDescent="0.3">
      <c r="A9" s="3" t="s">
        <v>16</v>
      </c>
      <c r="B9" s="36">
        <f>297437.5</f>
        <v>297437.5</v>
      </c>
      <c r="C9" s="36">
        <f>5425</f>
        <v>5425</v>
      </c>
      <c r="D9" s="36">
        <f>-2050</f>
        <v>-2050</v>
      </c>
      <c r="E9" s="36">
        <f>4200</f>
        <v>4200</v>
      </c>
      <c r="F9" s="36">
        <f>5850</f>
        <v>5850</v>
      </c>
      <c r="G9" s="36">
        <f>11025</f>
        <v>11025</v>
      </c>
      <c r="H9" s="36">
        <f>3387.5</f>
        <v>3387.5</v>
      </c>
      <c r="I9" s="36">
        <f>1950</f>
        <v>1950</v>
      </c>
      <c r="J9" s="36">
        <f>-9492.5</f>
        <v>-9492.5</v>
      </c>
      <c r="K9" s="36">
        <f>525</f>
        <v>525</v>
      </c>
      <c r="L9" s="35"/>
      <c r="M9" s="36">
        <f>3065.61</f>
        <v>3065.61</v>
      </c>
      <c r="N9" s="36">
        <f t="shared" si="0"/>
        <v>321323.11</v>
      </c>
    </row>
    <row r="10" spans="1:14" x14ac:dyDescent="0.3">
      <c r="A10" s="3" t="s">
        <v>17</v>
      </c>
      <c r="B10" s="36">
        <f>26390</f>
        <v>26390</v>
      </c>
      <c r="C10" s="36">
        <f>200</f>
        <v>200</v>
      </c>
      <c r="D10" s="36">
        <f>1400</f>
        <v>1400</v>
      </c>
      <c r="E10" s="35"/>
      <c r="F10" s="36">
        <f>700</f>
        <v>700</v>
      </c>
      <c r="G10" s="36">
        <f>700</f>
        <v>700</v>
      </c>
      <c r="H10" s="36">
        <f>-900</f>
        <v>-900</v>
      </c>
      <c r="I10" s="35"/>
      <c r="J10" s="36">
        <f>-266.67</f>
        <v>-266.67</v>
      </c>
      <c r="K10" s="35"/>
      <c r="L10" s="36">
        <f>175</f>
        <v>175</v>
      </c>
      <c r="M10" s="36">
        <f>1.92</f>
        <v>1.92</v>
      </c>
      <c r="N10" s="36">
        <f t="shared" si="0"/>
        <v>28400.25</v>
      </c>
    </row>
    <row r="11" spans="1:14" x14ac:dyDescent="0.3">
      <c r="A11" s="3" t="s">
        <v>18</v>
      </c>
      <c r="B11" s="35"/>
      <c r="C11" s="35"/>
      <c r="D11" s="35"/>
      <c r="E11" s="36">
        <f>163.68</f>
        <v>163.68</v>
      </c>
      <c r="F11" s="35"/>
      <c r="G11" s="36">
        <f>133.5</f>
        <v>133.5</v>
      </c>
      <c r="H11" s="35"/>
      <c r="I11" s="35"/>
      <c r="J11" s="35"/>
      <c r="K11" s="35"/>
      <c r="L11" s="35"/>
      <c r="M11" s="35"/>
      <c r="N11" s="36">
        <f t="shared" si="0"/>
        <v>297.18</v>
      </c>
    </row>
    <row r="12" spans="1:14" x14ac:dyDescent="0.3">
      <c r="A12" s="3" t="s">
        <v>19</v>
      </c>
      <c r="B12" s="35"/>
      <c r="C12" s="35"/>
      <c r="D12" s="35"/>
      <c r="E12" s="35"/>
      <c r="F12" s="35"/>
      <c r="G12" s="35"/>
      <c r="H12" s="35"/>
      <c r="I12" s="35"/>
      <c r="J12" s="35"/>
      <c r="K12" s="36">
        <f>268.07</f>
        <v>268.07</v>
      </c>
      <c r="L12" s="35"/>
      <c r="M12" s="35"/>
      <c r="N12" s="36">
        <f t="shared" si="0"/>
        <v>268.07</v>
      </c>
    </row>
    <row r="13" spans="1:14" x14ac:dyDescent="0.3">
      <c r="A13" s="3" t="s">
        <v>20</v>
      </c>
      <c r="B13" s="35"/>
      <c r="C13" s="36">
        <f>279.5</f>
        <v>279.5</v>
      </c>
      <c r="D13" s="36">
        <f>170.5</f>
        <v>170.5</v>
      </c>
      <c r="E13" s="35"/>
      <c r="F13" s="36">
        <f>984</f>
        <v>984</v>
      </c>
      <c r="G13" s="36">
        <f>4692</f>
        <v>4692</v>
      </c>
      <c r="H13" s="36">
        <f>2577.5</f>
        <v>2577.5</v>
      </c>
      <c r="I13" s="36">
        <f>845.5</f>
        <v>845.5</v>
      </c>
      <c r="J13" s="36">
        <f>494</f>
        <v>494</v>
      </c>
      <c r="K13" s="35"/>
      <c r="L13" s="35"/>
      <c r="M13" s="35"/>
      <c r="N13" s="36">
        <f t="shared" si="0"/>
        <v>10043</v>
      </c>
    </row>
    <row r="14" spans="1:14" x14ac:dyDescent="0.3">
      <c r="A14" s="3" t="s">
        <v>21</v>
      </c>
      <c r="B14" s="35"/>
      <c r="C14" s="36">
        <f>2058</f>
        <v>2058</v>
      </c>
      <c r="D14" s="36">
        <f>4893</f>
        <v>4893</v>
      </c>
      <c r="E14" s="36">
        <f>3847</f>
        <v>3847</v>
      </c>
      <c r="F14" s="36">
        <f>5553</f>
        <v>5553</v>
      </c>
      <c r="G14" s="36">
        <f>1100</f>
        <v>1100</v>
      </c>
      <c r="H14" s="36">
        <f>-55</f>
        <v>-55</v>
      </c>
      <c r="I14" s="35"/>
      <c r="J14" s="35"/>
      <c r="K14" s="35"/>
      <c r="L14" s="35"/>
      <c r="M14" s="35"/>
      <c r="N14" s="36">
        <f t="shared" si="0"/>
        <v>17396</v>
      </c>
    </row>
    <row r="15" spans="1:14" x14ac:dyDescent="0.3">
      <c r="A15" s="3" t="s">
        <v>22</v>
      </c>
      <c r="B15" s="35"/>
      <c r="C15" s="35"/>
      <c r="D15" s="36">
        <f>90</f>
        <v>90</v>
      </c>
      <c r="E15" s="36">
        <f>80</f>
        <v>80</v>
      </c>
      <c r="F15" s="35"/>
      <c r="G15" s="35"/>
      <c r="H15" s="36">
        <f>140</f>
        <v>140</v>
      </c>
      <c r="I15" s="36">
        <f>120</f>
        <v>120</v>
      </c>
      <c r="J15" s="36">
        <f>110</f>
        <v>110</v>
      </c>
      <c r="K15" s="36">
        <f>40</f>
        <v>40</v>
      </c>
      <c r="L15" s="36">
        <f>20</f>
        <v>20</v>
      </c>
      <c r="M15" s="35"/>
      <c r="N15" s="36">
        <f t="shared" si="0"/>
        <v>600</v>
      </c>
    </row>
    <row r="16" spans="1:14" x14ac:dyDescent="0.3">
      <c r="A16" s="3" t="s">
        <v>23</v>
      </c>
      <c r="B16" s="36">
        <f>13</f>
        <v>13</v>
      </c>
      <c r="C16" s="36">
        <f>19.5</f>
        <v>19.5</v>
      </c>
      <c r="D16" s="36">
        <f>169</f>
        <v>169</v>
      </c>
      <c r="E16" s="36">
        <f>104</f>
        <v>104</v>
      </c>
      <c r="F16" s="36">
        <f>362.5</f>
        <v>362.5</v>
      </c>
      <c r="G16" s="36">
        <f>878.5</f>
        <v>878.5</v>
      </c>
      <c r="H16" s="36">
        <f>474.5</f>
        <v>474.5</v>
      </c>
      <c r="I16" s="36">
        <f>195</f>
        <v>195</v>
      </c>
      <c r="J16" s="36">
        <f>253.5</f>
        <v>253.5</v>
      </c>
      <c r="K16" s="36">
        <f>123.5</f>
        <v>123.5</v>
      </c>
      <c r="L16" s="36">
        <f>97.5</f>
        <v>97.5</v>
      </c>
      <c r="M16" s="35"/>
      <c r="N16" s="36">
        <f t="shared" si="0"/>
        <v>2690.5</v>
      </c>
    </row>
    <row r="17" spans="1:14" x14ac:dyDescent="0.3">
      <c r="A17" s="3" t="s">
        <v>24</v>
      </c>
      <c r="B17" s="35"/>
      <c r="C17" s="35"/>
      <c r="D17" s="35"/>
      <c r="E17" s="35"/>
      <c r="F17" s="36">
        <f>50</f>
        <v>50</v>
      </c>
      <c r="G17" s="35"/>
      <c r="H17" s="35"/>
      <c r="I17" s="35"/>
      <c r="J17" s="35"/>
      <c r="K17" s="35"/>
      <c r="L17" s="35"/>
      <c r="M17" s="35"/>
      <c r="N17" s="36">
        <f t="shared" si="0"/>
        <v>50</v>
      </c>
    </row>
    <row r="18" spans="1:14" x14ac:dyDescent="0.3">
      <c r="A18" s="3" t="s">
        <v>25</v>
      </c>
      <c r="B18" s="37">
        <f t="shared" ref="B18:M18" si="1">((((((((((B7)+(B8))+(B9))+(B10))+(B11))+(B12))+(B13))+(B14))+(B15))+(B16))+(B17)</f>
        <v>323840.5</v>
      </c>
      <c r="C18" s="37">
        <f t="shared" si="1"/>
        <v>7982</v>
      </c>
      <c r="D18" s="37">
        <f t="shared" si="1"/>
        <v>6872.5</v>
      </c>
      <c r="E18" s="37">
        <f t="shared" si="1"/>
        <v>11844.68</v>
      </c>
      <c r="F18" s="37">
        <f t="shared" si="1"/>
        <v>13639.5</v>
      </c>
      <c r="G18" s="37">
        <f t="shared" si="1"/>
        <v>20329</v>
      </c>
      <c r="H18" s="37">
        <f t="shared" si="1"/>
        <v>5674.5</v>
      </c>
      <c r="I18" s="37">
        <f t="shared" si="1"/>
        <v>3110.5</v>
      </c>
      <c r="J18" s="37">
        <f t="shared" si="1"/>
        <v>-8251.67</v>
      </c>
      <c r="K18" s="37">
        <f t="shared" si="1"/>
        <v>956.56999999999994</v>
      </c>
      <c r="L18" s="37">
        <f t="shared" si="1"/>
        <v>292.5</v>
      </c>
      <c r="M18" s="37">
        <f t="shared" si="1"/>
        <v>3067.53</v>
      </c>
      <c r="N18" s="37">
        <f t="shared" si="0"/>
        <v>389358.11000000004</v>
      </c>
    </row>
    <row r="19" spans="1:14" x14ac:dyDescent="0.3">
      <c r="A19" s="3" t="s">
        <v>26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x14ac:dyDescent="0.3">
      <c r="A20" s="3" t="s">
        <v>27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>
        <f t="shared" ref="N20:N49" si="2">(((((((((((B20)+(C20))+(D20))+(E20))+(F20))+(G20))+(H20))+(I20))+(J20))+(K20))+(L20))+(M20)</f>
        <v>0</v>
      </c>
    </row>
    <row r="21" spans="1:14" x14ac:dyDescent="0.3">
      <c r="A21" s="3" t="s">
        <v>28</v>
      </c>
      <c r="B21" s="36">
        <f>769.22</f>
        <v>769.22</v>
      </c>
      <c r="C21" s="36">
        <f>55</f>
        <v>55</v>
      </c>
      <c r="D21" s="36">
        <f>719.1</f>
        <v>719.1</v>
      </c>
      <c r="E21" s="36">
        <f>397.01</f>
        <v>397.01</v>
      </c>
      <c r="F21" s="36">
        <f>7721.23</f>
        <v>7721.23</v>
      </c>
      <c r="G21" s="36">
        <f>2444.86</f>
        <v>2444.86</v>
      </c>
      <c r="H21" s="36">
        <f>253.5</f>
        <v>253.5</v>
      </c>
      <c r="I21" s="36">
        <f>1658.86</f>
        <v>1658.86</v>
      </c>
      <c r="J21" s="36">
        <f>775.3</f>
        <v>775.3</v>
      </c>
      <c r="K21" s="36">
        <f>707.05</f>
        <v>707.05</v>
      </c>
      <c r="L21" s="36">
        <f>5680.98</f>
        <v>5680.98</v>
      </c>
      <c r="M21" s="36">
        <f>719.09</f>
        <v>719.09</v>
      </c>
      <c r="N21" s="36">
        <f t="shared" si="2"/>
        <v>21901.200000000001</v>
      </c>
    </row>
    <row r="22" spans="1:14" x14ac:dyDescent="0.3">
      <c r="A22" s="3" t="s">
        <v>29</v>
      </c>
      <c r="B22" s="36">
        <f>1335</f>
        <v>1335</v>
      </c>
      <c r="C22" s="36">
        <f>2670</f>
        <v>2670</v>
      </c>
      <c r="D22" s="36">
        <f>3435</f>
        <v>3435</v>
      </c>
      <c r="E22" s="36">
        <f>1335</f>
        <v>1335</v>
      </c>
      <c r="F22" s="36">
        <f>2901</f>
        <v>2901</v>
      </c>
      <c r="G22" s="36">
        <f>1335</f>
        <v>1335</v>
      </c>
      <c r="H22" s="36">
        <f>1335</f>
        <v>1335</v>
      </c>
      <c r="I22" s="36">
        <f>1735</f>
        <v>1735</v>
      </c>
      <c r="J22" s="36">
        <f>2135</f>
        <v>2135</v>
      </c>
      <c r="K22" s="36">
        <f>1335</f>
        <v>1335</v>
      </c>
      <c r="L22" s="36">
        <f>1335</f>
        <v>1335</v>
      </c>
      <c r="M22" s="36">
        <f>1335</f>
        <v>1335</v>
      </c>
      <c r="N22" s="36">
        <f t="shared" si="2"/>
        <v>22221</v>
      </c>
    </row>
    <row r="23" spans="1:14" x14ac:dyDescent="0.3">
      <c r="A23" s="3" t="s">
        <v>30</v>
      </c>
      <c r="B23" s="37">
        <f t="shared" ref="B23:M23" si="3">((B20)+(B21))+(B22)</f>
        <v>2104.2200000000003</v>
      </c>
      <c r="C23" s="37">
        <f t="shared" si="3"/>
        <v>2725</v>
      </c>
      <c r="D23" s="37">
        <f t="shared" si="3"/>
        <v>4154.1000000000004</v>
      </c>
      <c r="E23" s="37">
        <f t="shared" si="3"/>
        <v>1732.01</v>
      </c>
      <c r="F23" s="37">
        <f t="shared" si="3"/>
        <v>10622.23</v>
      </c>
      <c r="G23" s="37">
        <f t="shared" si="3"/>
        <v>3779.86</v>
      </c>
      <c r="H23" s="37">
        <f t="shared" si="3"/>
        <v>1588.5</v>
      </c>
      <c r="I23" s="37">
        <f t="shared" si="3"/>
        <v>3393.8599999999997</v>
      </c>
      <c r="J23" s="37">
        <f t="shared" si="3"/>
        <v>2910.3</v>
      </c>
      <c r="K23" s="37">
        <f t="shared" si="3"/>
        <v>2042.05</v>
      </c>
      <c r="L23" s="37">
        <f t="shared" si="3"/>
        <v>7015.98</v>
      </c>
      <c r="M23" s="37">
        <f t="shared" si="3"/>
        <v>2054.09</v>
      </c>
      <c r="N23" s="37">
        <f t="shared" si="2"/>
        <v>44122.2</v>
      </c>
    </row>
    <row r="24" spans="1:14" x14ac:dyDescent="0.3">
      <c r="A24" s="3" t="s">
        <v>31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>
        <f t="shared" si="2"/>
        <v>0</v>
      </c>
    </row>
    <row r="25" spans="1:14" x14ac:dyDescent="0.3">
      <c r="A25" s="3" t="s">
        <v>32</v>
      </c>
      <c r="B25" s="35"/>
      <c r="C25" s="35"/>
      <c r="D25" s="35"/>
      <c r="E25" s="36">
        <f>356.46</f>
        <v>356.46</v>
      </c>
      <c r="F25" s="36">
        <f>4686.78</f>
        <v>4686.78</v>
      </c>
      <c r="G25" s="36">
        <f>628.23</f>
        <v>628.23</v>
      </c>
      <c r="H25" s="36">
        <f>643.79</f>
        <v>643.79</v>
      </c>
      <c r="I25" s="36">
        <f>79.3</f>
        <v>79.3</v>
      </c>
      <c r="J25" s="36">
        <f>1249.35</f>
        <v>1249.3499999999999</v>
      </c>
      <c r="K25" s="35"/>
      <c r="L25" s="35"/>
      <c r="M25" s="35"/>
      <c r="N25" s="36">
        <f t="shared" si="2"/>
        <v>7643.91</v>
      </c>
    </row>
    <row r="26" spans="1:14" x14ac:dyDescent="0.3">
      <c r="A26" s="3" t="s">
        <v>33</v>
      </c>
      <c r="B26" s="36">
        <f>1250</f>
        <v>1250</v>
      </c>
      <c r="C26" s="36">
        <f>1250</f>
        <v>1250</v>
      </c>
      <c r="D26" s="36">
        <f>1250</f>
        <v>1250</v>
      </c>
      <c r="E26" s="36">
        <f>2500</f>
        <v>2500</v>
      </c>
      <c r="F26" s="35"/>
      <c r="G26" s="36">
        <f>13930.08</f>
        <v>13930.08</v>
      </c>
      <c r="H26" s="36">
        <f>29784.43</f>
        <v>29784.43</v>
      </c>
      <c r="I26" s="36">
        <f>11192.07</f>
        <v>11192.07</v>
      </c>
      <c r="J26" s="36">
        <f>6810.17</f>
        <v>6810.17</v>
      </c>
      <c r="K26" s="35"/>
      <c r="L26" s="36">
        <f>1467.5</f>
        <v>1467.5</v>
      </c>
      <c r="M26" s="36">
        <f>2916.67</f>
        <v>2916.67</v>
      </c>
      <c r="N26" s="36">
        <f t="shared" si="2"/>
        <v>72350.92</v>
      </c>
    </row>
    <row r="27" spans="1:14" x14ac:dyDescent="0.3">
      <c r="A27" s="3" t="s">
        <v>34</v>
      </c>
      <c r="B27" s="36">
        <f>179.04</f>
        <v>179.04</v>
      </c>
      <c r="C27" s="36">
        <f>151.04</f>
        <v>151.04</v>
      </c>
      <c r="D27" s="36">
        <f>151.04</f>
        <v>151.04</v>
      </c>
      <c r="E27" s="36">
        <f>302.08</f>
        <v>302.08</v>
      </c>
      <c r="F27" s="35"/>
      <c r="G27" s="36">
        <f>1453.26</f>
        <v>1453.26</v>
      </c>
      <c r="H27" s="36">
        <f>2928.17</f>
        <v>2928.17</v>
      </c>
      <c r="I27" s="36">
        <f>1177.12</f>
        <v>1177.1199999999999</v>
      </c>
      <c r="J27" s="36">
        <f>835.69</f>
        <v>835.69</v>
      </c>
      <c r="K27" s="35"/>
      <c r="L27" s="36">
        <f>175.35</f>
        <v>175.35</v>
      </c>
      <c r="M27" s="36">
        <f>624.07</f>
        <v>624.07000000000005</v>
      </c>
      <c r="N27" s="36">
        <f t="shared" si="2"/>
        <v>7976.8600000000006</v>
      </c>
    </row>
    <row r="28" spans="1:14" x14ac:dyDescent="0.3">
      <c r="A28" s="3" t="s">
        <v>35</v>
      </c>
      <c r="B28" s="35"/>
      <c r="C28" s="36">
        <f>-3024</f>
        <v>-3024</v>
      </c>
      <c r="D28" s="35"/>
      <c r="E28" s="36">
        <f>965.2</f>
        <v>965.2</v>
      </c>
      <c r="F28" s="36">
        <f>4040.1</f>
        <v>4040.1</v>
      </c>
      <c r="G28" s="36">
        <f>5039.98</f>
        <v>5039.9799999999996</v>
      </c>
      <c r="H28" s="36">
        <f>2995.01</f>
        <v>2995.01</v>
      </c>
      <c r="I28" s="35"/>
      <c r="J28" s="36">
        <f>1525</f>
        <v>1525</v>
      </c>
      <c r="K28" s="36">
        <f>15089.58</f>
        <v>15089.58</v>
      </c>
      <c r="L28" s="35"/>
      <c r="M28" s="35"/>
      <c r="N28" s="36">
        <f t="shared" si="2"/>
        <v>26630.87</v>
      </c>
    </row>
    <row r="29" spans="1:14" x14ac:dyDescent="0.3">
      <c r="A29" s="3" t="s">
        <v>36</v>
      </c>
      <c r="B29" s="37">
        <f t="shared" ref="B29:M29" si="4">((((B24)+(B25))+(B26))+(B27))+(B28)</f>
        <v>1429.04</v>
      </c>
      <c r="C29" s="37">
        <f t="shared" si="4"/>
        <v>-1622.96</v>
      </c>
      <c r="D29" s="37">
        <f t="shared" si="4"/>
        <v>1401.04</v>
      </c>
      <c r="E29" s="37">
        <f t="shared" si="4"/>
        <v>4123.74</v>
      </c>
      <c r="F29" s="37">
        <f t="shared" si="4"/>
        <v>8726.8799999999992</v>
      </c>
      <c r="G29" s="37">
        <f t="shared" si="4"/>
        <v>21051.55</v>
      </c>
      <c r="H29" s="37">
        <f t="shared" si="4"/>
        <v>36351.4</v>
      </c>
      <c r="I29" s="37">
        <f t="shared" si="4"/>
        <v>12448.489999999998</v>
      </c>
      <c r="J29" s="37">
        <f t="shared" si="4"/>
        <v>10420.210000000001</v>
      </c>
      <c r="K29" s="37">
        <f t="shared" si="4"/>
        <v>15089.58</v>
      </c>
      <c r="L29" s="37">
        <f t="shared" si="4"/>
        <v>1642.85</v>
      </c>
      <c r="M29" s="37">
        <f t="shared" si="4"/>
        <v>3540.7400000000002</v>
      </c>
      <c r="N29" s="37">
        <f t="shared" si="2"/>
        <v>114602.56000000001</v>
      </c>
    </row>
    <row r="30" spans="1:14" x14ac:dyDescent="0.3">
      <c r="A30" s="3" t="s">
        <v>37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>
        <f t="shared" si="2"/>
        <v>0</v>
      </c>
    </row>
    <row r="31" spans="1:14" x14ac:dyDescent="0.3">
      <c r="A31" s="3" t="s">
        <v>38</v>
      </c>
      <c r="B31" s="36">
        <f>0</f>
        <v>0</v>
      </c>
      <c r="C31" s="36">
        <f>0</f>
        <v>0</v>
      </c>
      <c r="D31" s="36">
        <f>0</f>
        <v>0</v>
      </c>
      <c r="E31" s="36">
        <f>0</f>
        <v>0</v>
      </c>
      <c r="F31" s="35"/>
      <c r="G31" s="36">
        <f>448.79</f>
        <v>448.79</v>
      </c>
      <c r="H31" s="36">
        <f>394.09</f>
        <v>394.09</v>
      </c>
      <c r="I31" s="36">
        <f>240.61</f>
        <v>240.61</v>
      </c>
      <c r="J31" s="36">
        <f>-48.6</f>
        <v>-48.6</v>
      </c>
      <c r="K31" s="35"/>
      <c r="L31" s="36">
        <f>3.74</f>
        <v>3.74</v>
      </c>
      <c r="M31" s="36"/>
      <c r="N31" s="36">
        <f t="shared" si="2"/>
        <v>1038.6300000000001</v>
      </c>
    </row>
    <row r="32" spans="1:14" x14ac:dyDescent="0.3">
      <c r="A32" s="3" t="s">
        <v>39</v>
      </c>
      <c r="B32" s="36">
        <f>0</f>
        <v>0</v>
      </c>
      <c r="C32" s="36">
        <f>0</f>
        <v>0</v>
      </c>
      <c r="D32" s="36">
        <f>0</f>
        <v>0</v>
      </c>
      <c r="E32" s="36">
        <f>0</f>
        <v>0</v>
      </c>
      <c r="F32" s="35"/>
      <c r="G32" s="36">
        <f>4953.43</f>
        <v>4953.43</v>
      </c>
      <c r="H32" s="36">
        <f>4349.74</f>
        <v>4349.74</v>
      </c>
      <c r="I32" s="36">
        <f>2655.67</f>
        <v>2655.67</v>
      </c>
      <c r="J32" s="36">
        <f>-536.34</f>
        <v>-536.34</v>
      </c>
      <c r="K32" s="35"/>
      <c r="L32" s="36">
        <f>41.25</f>
        <v>41.25</v>
      </c>
      <c r="M32" s="36">
        <f>0</f>
        <v>0</v>
      </c>
      <c r="N32" s="36">
        <f t="shared" si="2"/>
        <v>11463.75</v>
      </c>
    </row>
    <row r="33" spans="1:14" x14ac:dyDescent="0.3">
      <c r="A33" s="3" t="s">
        <v>40</v>
      </c>
      <c r="B33" s="35"/>
      <c r="C33" s="36">
        <f>1117.61</f>
        <v>1117.6099999999999</v>
      </c>
      <c r="D33" s="35"/>
      <c r="E33" s="36">
        <f>452.83</f>
        <v>452.83</v>
      </c>
      <c r="F33" s="36">
        <f>1563.03</f>
        <v>1563.03</v>
      </c>
      <c r="G33" s="36">
        <f>1077.67</f>
        <v>1077.67</v>
      </c>
      <c r="H33" s="36">
        <f>3398.92</f>
        <v>3398.92</v>
      </c>
      <c r="I33" s="35"/>
      <c r="J33" s="35"/>
      <c r="K33" s="35"/>
      <c r="L33" s="35"/>
      <c r="M33" s="35"/>
      <c r="N33" s="36">
        <f t="shared" si="2"/>
        <v>7610.0599999999995</v>
      </c>
    </row>
    <row r="34" spans="1:14" x14ac:dyDescent="0.3">
      <c r="A34" s="3" t="s">
        <v>41</v>
      </c>
      <c r="B34" s="35"/>
      <c r="C34" s="35"/>
      <c r="D34" s="35"/>
      <c r="E34" s="35"/>
      <c r="F34" s="35"/>
      <c r="G34" s="36">
        <f>2455</f>
        <v>2455</v>
      </c>
      <c r="H34" s="35"/>
      <c r="I34" s="35"/>
      <c r="J34" s="35"/>
      <c r="K34" s="35"/>
      <c r="L34" s="35"/>
      <c r="M34" s="35"/>
      <c r="N34" s="36">
        <f t="shared" si="2"/>
        <v>2455</v>
      </c>
    </row>
    <row r="35" spans="1:14" x14ac:dyDescent="0.3">
      <c r="A35" s="3" t="s">
        <v>42</v>
      </c>
      <c r="B35" s="37">
        <f t="shared" ref="B35:M35" si="5">((((B30)+(B31))+(B32))+(B33))+(B34)</f>
        <v>0</v>
      </c>
      <c r="C35" s="37">
        <f t="shared" si="5"/>
        <v>1117.6099999999999</v>
      </c>
      <c r="D35" s="37">
        <f t="shared" si="5"/>
        <v>0</v>
      </c>
      <c r="E35" s="37">
        <f t="shared" si="5"/>
        <v>452.83</v>
      </c>
      <c r="F35" s="37">
        <f t="shared" si="5"/>
        <v>1563.03</v>
      </c>
      <c r="G35" s="37">
        <f t="shared" si="5"/>
        <v>8934.89</v>
      </c>
      <c r="H35" s="37">
        <f t="shared" si="5"/>
        <v>8142.75</v>
      </c>
      <c r="I35" s="37">
        <f t="shared" si="5"/>
        <v>2896.28</v>
      </c>
      <c r="J35" s="37">
        <f t="shared" si="5"/>
        <v>-584.94000000000005</v>
      </c>
      <c r="K35" s="37">
        <f t="shared" si="5"/>
        <v>0</v>
      </c>
      <c r="L35" s="37">
        <f t="shared" si="5"/>
        <v>44.99</v>
      </c>
      <c r="M35" s="37">
        <f t="shared" si="5"/>
        <v>0</v>
      </c>
      <c r="N35" s="37">
        <f t="shared" si="2"/>
        <v>22567.440000000002</v>
      </c>
    </row>
    <row r="36" spans="1:14" x14ac:dyDescent="0.3">
      <c r="A36" s="3" t="s">
        <v>43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6">
        <f t="shared" si="2"/>
        <v>0</v>
      </c>
    </row>
    <row r="37" spans="1:14" x14ac:dyDescent="0.3">
      <c r="A37" s="3" t="s">
        <v>44</v>
      </c>
      <c r="B37" s="36">
        <f>5200</f>
        <v>5200</v>
      </c>
      <c r="C37" s="36">
        <f>5200</f>
        <v>5200</v>
      </c>
      <c r="D37" s="36">
        <f>5200</f>
        <v>5200</v>
      </c>
      <c r="E37" s="36">
        <f>5200</f>
        <v>5200</v>
      </c>
      <c r="F37" s="36">
        <f>15350</f>
        <v>15350</v>
      </c>
      <c r="G37" s="35"/>
      <c r="H37" s="36">
        <f>6025</f>
        <v>6025</v>
      </c>
      <c r="I37" s="36">
        <f>6025</f>
        <v>6025</v>
      </c>
      <c r="J37" s="36">
        <f>6025</f>
        <v>6025</v>
      </c>
      <c r="K37" s="36">
        <f>12050</f>
        <v>12050</v>
      </c>
      <c r="L37" s="35"/>
      <c r="M37" s="36">
        <f>6025</f>
        <v>6025</v>
      </c>
      <c r="N37" s="36">
        <f t="shared" si="2"/>
        <v>72300</v>
      </c>
    </row>
    <row r="38" spans="1:14" x14ac:dyDescent="0.3">
      <c r="A38" s="3" t="s">
        <v>45</v>
      </c>
      <c r="B38" s="35"/>
      <c r="C38" s="35"/>
      <c r="D38" s="36">
        <f>6029.32</f>
        <v>6029.32</v>
      </c>
      <c r="E38" s="36">
        <f>6720</f>
        <v>6720</v>
      </c>
      <c r="F38" s="36">
        <f>1995</f>
        <v>1995</v>
      </c>
      <c r="G38" s="35"/>
      <c r="H38" s="36">
        <f>32.67</f>
        <v>32.67</v>
      </c>
      <c r="I38" s="35"/>
      <c r="J38" s="36">
        <f>1688.9</f>
        <v>1688.9</v>
      </c>
      <c r="K38" s="35"/>
      <c r="L38" s="35"/>
      <c r="M38" s="36">
        <f>2322.49</f>
        <v>2322.4899999999998</v>
      </c>
      <c r="N38" s="36">
        <f t="shared" si="2"/>
        <v>18788.379999999997</v>
      </c>
    </row>
    <row r="39" spans="1:14" x14ac:dyDescent="0.3">
      <c r="A39" s="3" t="s">
        <v>46</v>
      </c>
      <c r="B39" s="36">
        <f>88.84</f>
        <v>88.84</v>
      </c>
      <c r="C39" s="36">
        <f>28.79</f>
        <v>28.79</v>
      </c>
      <c r="D39" s="36">
        <f>118.26</f>
        <v>118.26</v>
      </c>
      <c r="E39" s="36">
        <f>79.45</f>
        <v>79.45</v>
      </c>
      <c r="F39" s="36">
        <f>184.27</f>
        <v>184.27</v>
      </c>
      <c r="G39" s="35"/>
      <c r="H39" s="35"/>
      <c r="I39" s="35"/>
      <c r="J39" s="36">
        <f>268.89</f>
        <v>268.89</v>
      </c>
      <c r="K39" s="35"/>
      <c r="L39" s="35"/>
      <c r="M39" s="36">
        <f>63.92</f>
        <v>63.92</v>
      </c>
      <c r="N39" s="36">
        <f t="shared" si="2"/>
        <v>832.42</v>
      </c>
    </row>
    <row r="40" spans="1:14" x14ac:dyDescent="0.3">
      <c r="A40" s="3" t="s">
        <v>47</v>
      </c>
      <c r="B40" s="35"/>
      <c r="C40" s="35"/>
      <c r="D40" s="35"/>
      <c r="E40" s="35"/>
      <c r="F40" s="35"/>
      <c r="G40" s="36">
        <f>200</f>
        <v>200</v>
      </c>
      <c r="H40" s="35"/>
      <c r="I40" s="35"/>
      <c r="J40" s="35"/>
      <c r="K40" s="35"/>
      <c r="L40" s="35"/>
      <c r="M40" s="35"/>
      <c r="N40" s="36">
        <f t="shared" si="2"/>
        <v>200</v>
      </c>
    </row>
    <row r="41" spans="1:14" x14ac:dyDescent="0.3">
      <c r="A41" s="3" t="s">
        <v>48</v>
      </c>
      <c r="B41" s="37">
        <f t="shared" ref="B41:M41" si="6">((((B36)+(B37))+(B38))+(B39))+(B40)</f>
        <v>5288.84</v>
      </c>
      <c r="C41" s="37">
        <f t="shared" si="6"/>
        <v>5228.79</v>
      </c>
      <c r="D41" s="37">
        <f t="shared" si="6"/>
        <v>11347.58</v>
      </c>
      <c r="E41" s="37">
        <f t="shared" si="6"/>
        <v>11999.45</v>
      </c>
      <c r="F41" s="37">
        <f t="shared" si="6"/>
        <v>17529.27</v>
      </c>
      <c r="G41" s="37">
        <f t="shared" si="6"/>
        <v>200</v>
      </c>
      <c r="H41" s="37">
        <f t="shared" si="6"/>
        <v>6057.67</v>
      </c>
      <c r="I41" s="37">
        <f t="shared" si="6"/>
        <v>6025</v>
      </c>
      <c r="J41" s="37">
        <f t="shared" si="6"/>
        <v>7982.79</v>
      </c>
      <c r="K41" s="37">
        <f t="shared" si="6"/>
        <v>12050</v>
      </c>
      <c r="L41" s="37">
        <f t="shared" si="6"/>
        <v>0</v>
      </c>
      <c r="M41" s="37">
        <f t="shared" si="6"/>
        <v>8411.41</v>
      </c>
      <c r="N41" s="37">
        <f t="shared" si="2"/>
        <v>92120.8</v>
      </c>
    </row>
    <row r="42" spans="1:14" x14ac:dyDescent="0.3">
      <c r="A42" s="3" t="s">
        <v>49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6">
        <f t="shared" si="2"/>
        <v>0</v>
      </c>
    </row>
    <row r="43" spans="1:14" x14ac:dyDescent="0.3">
      <c r="A43" s="3" t="s">
        <v>50</v>
      </c>
      <c r="B43" s="36">
        <f>1191.5</f>
        <v>1191.5</v>
      </c>
      <c r="C43" s="36">
        <f>1052.82</f>
        <v>1052.82</v>
      </c>
      <c r="D43" s="36">
        <f>963.43</f>
        <v>963.43</v>
      </c>
      <c r="E43" s="36">
        <f>749.84</f>
        <v>749.84</v>
      </c>
      <c r="F43" s="36">
        <f>770.02</f>
        <v>770.02</v>
      </c>
      <c r="G43" s="36">
        <f>1555.27</f>
        <v>1555.27</v>
      </c>
      <c r="H43" s="36">
        <f>1954.21</f>
        <v>1954.21</v>
      </c>
      <c r="I43" s="36">
        <f>1824.03</f>
        <v>1824.03</v>
      </c>
      <c r="J43" s="36">
        <f>1894.49</f>
        <v>1894.49</v>
      </c>
      <c r="K43" s="36">
        <f>1303.79</f>
        <v>1303.79</v>
      </c>
      <c r="L43" s="36">
        <f>883.03</f>
        <v>883.03</v>
      </c>
      <c r="M43" s="36">
        <f>921.25</f>
        <v>921.25</v>
      </c>
      <c r="N43" s="36">
        <f t="shared" si="2"/>
        <v>15063.680000000002</v>
      </c>
    </row>
    <row r="44" spans="1:14" x14ac:dyDescent="0.3">
      <c r="A44" s="3" t="s">
        <v>51</v>
      </c>
      <c r="B44" s="36">
        <f t="shared" ref="B44:M44" si="7">244.33</f>
        <v>244.33</v>
      </c>
      <c r="C44" s="36">
        <f t="shared" si="7"/>
        <v>244.33</v>
      </c>
      <c r="D44" s="36">
        <f t="shared" si="7"/>
        <v>244.33</v>
      </c>
      <c r="E44" s="36">
        <f t="shared" si="7"/>
        <v>244.33</v>
      </c>
      <c r="F44" s="36">
        <f t="shared" si="7"/>
        <v>244.33</v>
      </c>
      <c r="G44" s="36">
        <f t="shared" si="7"/>
        <v>244.33</v>
      </c>
      <c r="H44" s="36">
        <f t="shared" si="7"/>
        <v>244.33</v>
      </c>
      <c r="I44" s="36">
        <f t="shared" si="7"/>
        <v>244.33</v>
      </c>
      <c r="J44" s="36">
        <f t="shared" si="7"/>
        <v>244.33</v>
      </c>
      <c r="K44" s="36">
        <f t="shared" si="7"/>
        <v>244.33</v>
      </c>
      <c r="L44" s="36">
        <f t="shared" si="7"/>
        <v>244.33</v>
      </c>
      <c r="M44" s="36">
        <f t="shared" si="7"/>
        <v>244.33</v>
      </c>
      <c r="N44" s="36">
        <f t="shared" si="2"/>
        <v>2931.9599999999996</v>
      </c>
    </row>
    <row r="45" spans="1:14" x14ac:dyDescent="0.3">
      <c r="A45" s="3" t="s">
        <v>52</v>
      </c>
      <c r="B45" s="36">
        <f>200.53</f>
        <v>200.53</v>
      </c>
      <c r="C45" s="36">
        <f>609.55</f>
        <v>609.54999999999995</v>
      </c>
      <c r="D45" s="36">
        <f>705.65</f>
        <v>705.65</v>
      </c>
      <c r="E45" s="36">
        <f>958.21</f>
        <v>958.21</v>
      </c>
      <c r="F45" s="36">
        <f>1069.57</f>
        <v>1069.57</v>
      </c>
      <c r="G45" s="36">
        <f>455.85</f>
        <v>455.85</v>
      </c>
      <c r="H45" s="36">
        <f>1126.83</f>
        <v>1126.83</v>
      </c>
      <c r="I45" s="36">
        <f>1581.62</f>
        <v>1581.62</v>
      </c>
      <c r="J45" s="36">
        <f>1540.5</f>
        <v>1540.5</v>
      </c>
      <c r="K45" s="36">
        <f>898.3</f>
        <v>898.3</v>
      </c>
      <c r="L45" s="36">
        <f>937.82</f>
        <v>937.82</v>
      </c>
      <c r="M45" s="36">
        <f>157.3</f>
        <v>157.30000000000001</v>
      </c>
      <c r="N45" s="36">
        <f t="shared" si="2"/>
        <v>10241.73</v>
      </c>
    </row>
    <row r="46" spans="1:14" x14ac:dyDescent="0.3">
      <c r="A46" s="3" t="s">
        <v>53</v>
      </c>
      <c r="B46" s="37">
        <f t="shared" ref="B46:M46" si="8">(((B42)+(B43))+(B44))+(B45)</f>
        <v>1636.36</v>
      </c>
      <c r="C46" s="37">
        <f t="shared" si="8"/>
        <v>1906.6999999999998</v>
      </c>
      <c r="D46" s="37">
        <f t="shared" si="8"/>
        <v>1913.4099999999999</v>
      </c>
      <c r="E46" s="37">
        <f t="shared" si="8"/>
        <v>1952.38</v>
      </c>
      <c r="F46" s="37">
        <f t="shared" si="8"/>
        <v>2083.92</v>
      </c>
      <c r="G46" s="37">
        <f t="shared" si="8"/>
        <v>2255.4499999999998</v>
      </c>
      <c r="H46" s="37">
        <f t="shared" si="8"/>
        <v>3325.37</v>
      </c>
      <c r="I46" s="37">
        <f t="shared" si="8"/>
        <v>3649.98</v>
      </c>
      <c r="J46" s="37">
        <f t="shared" si="8"/>
        <v>3679.32</v>
      </c>
      <c r="K46" s="37">
        <f t="shared" si="8"/>
        <v>2446.42</v>
      </c>
      <c r="L46" s="37">
        <f t="shared" si="8"/>
        <v>2065.1799999999998</v>
      </c>
      <c r="M46" s="37">
        <f t="shared" si="8"/>
        <v>1322.8799999999999</v>
      </c>
      <c r="N46" s="37">
        <f t="shared" si="2"/>
        <v>28237.37</v>
      </c>
    </row>
    <row r="47" spans="1:14" x14ac:dyDescent="0.3">
      <c r="A47" s="3" t="s">
        <v>54</v>
      </c>
      <c r="B47" s="35"/>
      <c r="C47" s="35"/>
      <c r="D47" s="35"/>
      <c r="E47" s="35"/>
      <c r="F47" s="35"/>
      <c r="G47" s="35"/>
      <c r="H47" s="36">
        <f>1558.01</f>
        <v>1558.01</v>
      </c>
      <c r="I47" s="35"/>
      <c r="J47" s="35"/>
      <c r="K47" s="35"/>
      <c r="L47" s="35"/>
      <c r="M47" s="35"/>
      <c r="N47" s="36">
        <f t="shared" si="2"/>
        <v>1558.01</v>
      </c>
    </row>
    <row r="48" spans="1:14" x14ac:dyDescent="0.3">
      <c r="A48" s="3" t="s">
        <v>55</v>
      </c>
      <c r="B48" s="37">
        <f t="shared" ref="B48:M48" si="9">(((((B23)+(B29))+(B35))+(B41))+(B46))+(B47)</f>
        <v>10458.460000000001</v>
      </c>
      <c r="C48" s="37">
        <f t="shared" si="9"/>
        <v>9355.14</v>
      </c>
      <c r="D48" s="37">
        <f t="shared" si="9"/>
        <v>18816.13</v>
      </c>
      <c r="E48" s="37">
        <f t="shared" si="9"/>
        <v>20260.41</v>
      </c>
      <c r="F48" s="37">
        <f t="shared" si="9"/>
        <v>40525.33</v>
      </c>
      <c r="G48" s="37">
        <f t="shared" si="9"/>
        <v>36221.75</v>
      </c>
      <c r="H48" s="37">
        <f t="shared" si="9"/>
        <v>57023.700000000004</v>
      </c>
      <c r="I48" s="37">
        <f t="shared" si="9"/>
        <v>28413.609999999997</v>
      </c>
      <c r="J48" s="37">
        <f t="shared" si="9"/>
        <v>24407.68</v>
      </c>
      <c r="K48" s="37">
        <f t="shared" si="9"/>
        <v>31628.050000000003</v>
      </c>
      <c r="L48" s="37">
        <f t="shared" si="9"/>
        <v>10769</v>
      </c>
      <c r="M48" s="37">
        <f t="shared" si="9"/>
        <v>15329.119999999999</v>
      </c>
      <c r="N48" s="37">
        <f t="shared" si="2"/>
        <v>303208.38</v>
      </c>
    </row>
    <row r="49" spans="1:14" x14ac:dyDescent="0.3">
      <c r="A49" s="3" t="s">
        <v>56</v>
      </c>
      <c r="B49" s="37">
        <f t="shared" ref="B49:M49" si="10">(B18)-(B48)</f>
        <v>313382.03999999998</v>
      </c>
      <c r="C49" s="37">
        <f t="shared" si="10"/>
        <v>-1373.1399999999994</v>
      </c>
      <c r="D49" s="37">
        <f t="shared" si="10"/>
        <v>-11943.630000000001</v>
      </c>
      <c r="E49" s="37">
        <f t="shared" si="10"/>
        <v>-8415.73</v>
      </c>
      <c r="F49" s="37">
        <f t="shared" si="10"/>
        <v>-26885.83</v>
      </c>
      <c r="G49" s="37">
        <f t="shared" si="10"/>
        <v>-15892.75</v>
      </c>
      <c r="H49" s="37">
        <f t="shared" si="10"/>
        <v>-51349.200000000004</v>
      </c>
      <c r="I49" s="37">
        <f t="shared" si="10"/>
        <v>-25303.109999999997</v>
      </c>
      <c r="J49" s="37">
        <f t="shared" si="10"/>
        <v>-32659.35</v>
      </c>
      <c r="K49" s="37">
        <f t="shared" si="10"/>
        <v>-30671.480000000003</v>
      </c>
      <c r="L49" s="37">
        <f t="shared" si="10"/>
        <v>-10476.5</v>
      </c>
      <c r="M49" s="37">
        <f t="shared" si="10"/>
        <v>-12261.589999999998</v>
      </c>
      <c r="N49" s="37">
        <f t="shared" si="2"/>
        <v>86149.729999999952</v>
      </c>
    </row>
    <row r="50" spans="1:14" x14ac:dyDescent="0.3">
      <c r="A50" s="3" t="s">
        <v>57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 x14ac:dyDescent="0.3">
      <c r="A51" s="3" t="s">
        <v>58</v>
      </c>
      <c r="B51" s="35"/>
      <c r="C51" s="35"/>
      <c r="D51" s="35"/>
      <c r="E51" s="35"/>
      <c r="F51" s="35"/>
      <c r="G51" s="35"/>
      <c r="H51" s="35"/>
      <c r="I51" s="36">
        <f>200</f>
        <v>200</v>
      </c>
      <c r="J51" s="36">
        <f>500</f>
        <v>500</v>
      </c>
      <c r="K51" s="35"/>
      <c r="L51" s="35"/>
      <c r="M51" s="35"/>
      <c r="N51" s="36">
        <f t="shared" ref="N51:N69" si="11">(((((((((((B51)+(C51))+(D51))+(E51))+(F51))+(G51))+(H51))+(I51))+(J51))+(K51))+(L51))+(M51)</f>
        <v>700</v>
      </c>
    </row>
    <row r="52" spans="1:14" x14ac:dyDescent="0.3">
      <c r="A52" s="3" t="s">
        <v>59</v>
      </c>
      <c r="B52" s="36">
        <f>92.74</f>
        <v>92.74</v>
      </c>
      <c r="C52" s="36">
        <f>1207.27</f>
        <v>1207.27</v>
      </c>
      <c r="D52" s="36">
        <f>602.93</f>
        <v>602.92999999999995</v>
      </c>
      <c r="E52" s="36">
        <f>772.56</f>
        <v>772.56</v>
      </c>
      <c r="F52" s="36">
        <f>507.46</f>
        <v>507.46</v>
      </c>
      <c r="G52" s="36">
        <f>362.03</f>
        <v>362.03</v>
      </c>
      <c r="H52" s="36">
        <f>486.19</f>
        <v>486.19</v>
      </c>
      <c r="I52" s="36">
        <f>281.61</f>
        <v>281.61</v>
      </c>
      <c r="J52" s="36">
        <f>14.97</f>
        <v>14.97</v>
      </c>
      <c r="K52" s="36">
        <f>78.8</f>
        <v>78.8</v>
      </c>
      <c r="L52" s="36">
        <f>329.12</f>
        <v>329.12</v>
      </c>
      <c r="M52" s="36">
        <f>-32.7</f>
        <v>-32.700000000000003</v>
      </c>
      <c r="N52" s="36">
        <f t="shared" si="11"/>
        <v>4702.9800000000005</v>
      </c>
    </row>
    <row r="53" spans="1:14" x14ac:dyDescent="0.3">
      <c r="A53" s="3" t="s">
        <v>60</v>
      </c>
      <c r="B53" s="36">
        <f>17</f>
        <v>17</v>
      </c>
      <c r="C53" s="36">
        <f>17</f>
        <v>17</v>
      </c>
      <c r="D53" s="36">
        <f>17</f>
        <v>17</v>
      </c>
      <c r="E53" s="36">
        <f>17</f>
        <v>17</v>
      </c>
      <c r="F53" s="36">
        <f>28.73</f>
        <v>28.73</v>
      </c>
      <c r="G53" s="36">
        <f>28.73</f>
        <v>28.73</v>
      </c>
      <c r="H53" s="36">
        <f>28.73</f>
        <v>28.73</v>
      </c>
      <c r="I53" s="36">
        <f>28.73</f>
        <v>28.73</v>
      </c>
      <c r="J53" s="36">
        <f>17</f>
        <v>17</v>
      </c>
      <c r="K53" s="36">
        <f>12.47</f>
        <v>12.47</v>
      </c>
      <c r="L53" s="35"/>
      <c r="M53" s="35"/>
      <c r="N53" s="36">
        <f t="shared" si="11"/>
        <v>212.39</v>
      </c>
    </row>
    <row r="54" spans="1:14" x14ac:dyDescent="0.3">
      <c r="A54" s="3" t="s">
        <v>61</v>
      </c>
      <c r="B54" s="35"/>
      <c r="C54" s="35"/>
      <c r="D54" s="35"/>
      <c r="E54" s="35"/>
      <c r="F54" s="35"/>
      <c r="G54" s="35"/>
      <c r="H54" s="35"/>
      <c r="I54" s="36">
        <f>93.44</f>
        <v>93.44</v>
      </c>
      <c r="J54" s="35"/>
      <c r="K54" s="35"/>
      <c r="L54" s="35"/>
      <c r="M54" s="35"/>
      <c r="N54" s="36">
        <f t="shared" si="11"/>
        <v>93.44</v>
      </c>
    </row>
    <row r="55" spans="1:14" x14ac:dyDescent="0.3">
      <c r="A55" s="3" t="s">
        <v>62</v>
      </c>
      <c r="B55" s="35"/>
      <c r="C55" s="36">
        <f>15709</f>
        <v>15709</v>
      </c>
      <c r="D55" s="35"/>
      <c r="E55" s="35"/>
      <c r="F55" s="35"/>
      <c r="G55" s="36">
        <f>5180</f>
        <v>5180</v>
      </c>
      <c r="H55" s="35"/>
      <c r="I55" s="35"/>
      <c r="J55" s="35"/>
      <c r="K55" s="35"/>
      <c r="L55" s="35"/>
      <c r="M55" s="35"/>
      <c r="N55" s="36">
        <f t="shared" si="11"/>
        <v>20889</v>
      </c>
    </row>
    <row r="56" spans="1:14" x14ac:dyDescent="0.3">
      <c r="A56" s="3" t="s">
        <v>63</v>
      </c>
      <c r="B56" s="36">
        <f>675</f>
        <v>675</v>
      </c>
      <c r="C56" s="36">
        <f>870</f>
        <v>870</v>
      </c>
      <c r="D56" s="36">
        <f>685</f>
        <v>685</v>
      </c>
      <c r="E56" s="36">
        <f>2903</f>
        <v>2903</v>
      </c>
      <c r="F56" s="36">
        <f>210</f>
        <v>210</v>
      </c>
      <c r="G56" s="36">
        <f>780</f>
        <v>780</v>
      </c>
      <c r="H56" s="36">
        <f>240</f>
        <v>240</v>
      </c>
      <c r="I56" s="36">
        <f>180</f>
        <v>180</v>
      </c>
      <c r="J56" s="36">
        <f>840</f>
        <v>840</v>
      </c>
      <c r="K56" s="36">
        <f>1320</f>
        <v>1320</v>
      </c>
      <c r="L56" s="36">
        <f>780</f>
        <v>780</v>
      </c>
      <c r="M56" s="36">
        <f>540</f>
        <v>540</v>
      </c>
      <c r="N56" s="36">
        <f t="shared" si="11"/>
        <v>10023</v>
      </c>
    </row>
    <row r="57" spans="1:14" x14ac:dyDescent="0.3">
      <c r="A57" s="3" t="s">
        <v>64</v>
      </c>
      <c r="B57" s="35"/>
      <c r="C57" s="35"/>
      <c r="D57" s="35"/>
      <c r="E57" s="35"/>
      <c r="F57" s="36">
        <f>42.66</f>
        <v>42.66</v>
      </c>
      <c r="G57" s="36">
        <f>97.37</f>
        <v>97.37</v>
      </c>
      <c r="H57" s="36">
        <f>30.37</f>
        <v>30.37</v>
      </c>
      <c r="I57" s="36">
        <f>568.5</f>
        <v>568.5</v>
      </c>
      <c r="J57" s="35"/>
      <c r="K57" s="35"/>
      <c r="L57" s="35"/>
      <c r="M57" s="35"/>
      <c r="N57" s="36">
        <f t="shared" si="11"/>
        <v>738.9</v>
      </c>
    </row>
    <row r="58" spans="1:14" x14ac:dyDescent="0.3">
      <c r="A58" s="3" t="s">
        <v>65</v>
      </c>
      <c r="B58" s="35"/>
      <c r="C58" s="35"/>
      <c r="D58" s="35"/>
      <c r="E58" s="35"/>
      <c r="F58" s="35"/>
      <c r="G58" s="35"/>
      <c r="H58" s="36">
        <f>22.42</f>
        <v>22.42</v>
      </c>
      <c r="I58" s="35"/>
      <c r="J58" s="35"/>
      <c r="K58" s="35"/>
      <c r="L58" s="35"/>
      <c r="M58" s="35"/>
      <c r="N58" s="36">
        <f t="shared" si="11"/>
        <v>22.42</v>
      </c>
    </row>
    <row r="59" spans="1:14" x14ac:dyDescent="0.3">
      <c r="A59" s="3" t="s">
        <v>66</v>
      </c>
      <c r="B59" s="36">
        <f>156.89</f>
        <v>156.88999999999999</v>
      </c>
      <c r="C59" s="36">
        <f>99</f>
        <v>99</v>
      </c>
      <c r="D59" s="36">
        <f>99</f>
        <v>99</v>
      </c>
      <c r="E59" s="36">
        <f>99</f>
        <v>99</v>
      </c>
      <c r="F59" s="36">
        <f>99</f>
        <v>99</v>
      </c>
      <c r="G59" s="36">
        <f>179</f>
        <v>179</v>
      </c>
      <c r="H59" s="36">
        <f>129.63</f>
        <v>129.63</v>
      </c>
      <c r="I59" s="36">
        <f>615</f>
        <v>615</v>
      </c>
      <c r="J59" s="36">
        <f>115</f>
        <v>115</v>
      </c>
      <c r="K59" s="36">
        <f>150</f>
        <v>150</v>
      </c>
      <c r="L59" s="36">
        <f>115</f>
        <v>115</v>
      </c>
      <c r="M59" s="36">
        <f>115</f>
        <v>115</v>
      </c>
      <c r="N59" s="36">
        <f t="shared" si="11"/>
        <v>1971.52</v>
      </c>
    </row>
    <row r="60" spans="1:14" x14ac:dyDescent="0.3">
      <c r="A60" s="3" t="s">
        <v>67</v>
      </c>
      <c r="B60" s="35"/>
      <c r="C60" s="36">
        <f>50</f>
        <v>50</v>
      </c>
      <c r="D60" s="35"/>
      <c r="E60" s="35"/>
      <c r="F60" s="35"/>
      <c r="G60" s="35"/>
      <c r="H60" s="35"/>
      <c r="I60" s="35"/>
      <c r="J60" s="35"/>
      <c r="K60" s="35"/>
      <c r="L60" s="35"/>
      <c r="M60" s="36">
        <f>550</f>
        <v>550</v>
      </c>
      <c r="N60" s="36">
        <f t="shared" si="11"/>
        <v>600</v>
      </c>
    </row>
    <row r="61" spans="1:14" x14ac:dyDescent="0.3">
      <c r="A61" s="3" t="s">
        <v>68</v>
      </c>
      <c r="B61" s="35"/>
      <c r="C61" s="35"/>
      <c r="D61" s="35"/>
      <c r="E61" s="35"/>
      <c r="F61" s="35"/>
      <c r="G61" s="35"/>
      <c r="H61" s="35"/>
      <c r="I61" s="36">
        <f>10210.79</f>
        <v>10210.790000000001</v>
      </c>
      <c r="J61" s="36">
        <f>1375.97</f>
        <v>1375.97</v>
      </c>
      <c r="K61" s="35"/>
      <c r="L61" s="35"/>
      <c r="M61" s="35"/>
      <c r="N61" s="36">
        <f t="shared" si="11"/>
        <v>11586.76</v>
      </c>
    </row>
    <row r="62" spans="1:14" x14ac:dyDescent="0.3">
      <c r="A62" s="3" t="s">
        <v>69</v>
      </c>
      <c r="B62" s="35"/>
      <c r="C62" s="35"/>
      <c r="D62" s="36">
        <f>827.5</f>
        <v>827.5</v>
      </c>
      <c r="E62" s="36">
        <f>508</f>
        <v>508</v>
      </c>
      <c r="F62" s="36">
        <f>26.08</f>
        <v>26.08</v>
      </c>
      <c r="G62" s="35"/>
      <c r="H62" s="36">
        <f>100</f>
        <v>100</v>
      </c>
      <c r="I62" s="35"/>
      <c r="J62" s="35"/>
      <c r="K62" s="35"/>
      <c r="L62" s="35"/>
      <c r="M62" s="35"/>
      <c r="N62" s="36">
        <f t="shared" si="11"/>
        <v>1461.58</v>
      </c>
    </row>
    <row r="63" spans="1:14" x14ac:dyDescent="0.3">
      <c r="A63" s="3" t="s">
        <v>70</v>
      </c>
      <c r="B63" s="35"/>
      <c r="C63" s="35"/>
      <c r="D63" s="35"/>
      <c r="E63" s="35"/>
      <c r="F63" s="36">
        <f>1607.42</f>
        <v>1607.42</v>
      </c>
      <c r="G63" s="36">
        <f>2185.61</f>
        <v>2185.61</v>
      </c>
      <c r="H63" s="35"/>
      <c r="I63" s="36">
        <f>709.09</f>
        <v>709.09</v>
      </c>
      <c r="J63" s="35"/>
      <c r="K63" s="35"/>
      <c r="L63" s="35"/>
      <c r="M63" s="35"/>
      <c r="N63" s="36">
        <f t="shared" si="11"/>
        <v>4502.12</v>
      </c>
    </row>
    <row r="64" spans="1:14" x14ac:dyDescent="0.3">
      <c r="A64" s="3" t="s">
        <v>71</v>
      </c>
      <c r="B64" s="36">
        <f>-0.01</f>
        <v>-0.01</v>
      </c>
      <c r="C64" s="36">
        <f>0.01</f>
        <v>0.01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6">
        <f t="shared" si="11"/>
        <v>0</v>
      </c>
    </row>
    <row r="65" spans="1:14" x14ac:dyDescent="0.3">
      <c r="A65" s="3" t="s">
        <v>72</v>
      </c>
      <c r="B65" s="35"/>
      <c r="C65" s="35"/>
      <c r="D65" s="35"/>
      <c r="E65" s="36">
        <f>984.27</f>
        <v>984.27</v>
      </c>
      <c r="F65" s="36">
        <f>205.19</f>
        <v>205.19</v>
      </c>
      <c r="G65" s="36">
        <f>57.61</f>
        <v>57.61</v>
      </c>
      <c r="H65" s="36">
        <f>462.98</f>
        <v>462.98</v>
      </c>
      <c r="I65" s="35"/>
      <c r="J65" s="36">
        <f>598.33</f>
        <v>598.33000000000004</v>
      </c>
      <c r="K65" s="35"/>
      <c r="L65" s="35"/>
      <c r="M65" s="35"/>
      <c r="N65" s="36">
        <f t="shared" si="11"/>
        <v>2308.38</v>
      </c>
    </row>
    <row r="66" spans="1:14" x14ac:dyDescent="0.3">
      <c r="A66" s="3" t="s">
        <v>73</v>
      </c>
      <c r="B66" s="35"/>
      <c r="C66" s="35"/>
      <c r="D66" s="35"/>
      <c r="E66" s="35"/>
      <c r="F66" s="36">
        <f>247.76</f>
        <v>247.76</v>
      </c>
      <c r="G66" s="36">
        <f>-26.89</f>
        <v>-26.89</v>
      </c>
      <c r="H66" s="36">
        <f>176.8</f>
        <v>176.8</v>
      </c>
      <c r="I66" s="36">
        <f>7.9</f>
        <v>7.9</v>
      </c>
      <c r="J66" s="36">
        <f>1186.85</f>
        <v>1186.8499999999999</v>
      </c>
      <c r="K66" s="35"/>
      <c r="L66" s="35"/>
      <c r="M66" s="35"/>
      <c r="N66" s="36">
        <f t="shared" si="11"/>
        <v>1592.4199999999998</v>
      </c>
    </row>
    <row r="67" spans="1:14" x14ac:dyDescent="0.3">
      <c r="A67" s="3" t="s">
        <v>74</v>
      </c>
      <c r="B67" s="35"/>
      <c r="C67" s="35"/>
      <c r="D67" s="35"/>
      <c r="E67" s="35"/>
      <c r="F67" s="35"/>
      <c r="G67" s="36">
        <f>1750</f>
        <v>1750</v>
      </c>
      <c r="H67" s="35"/>
      <c r="I67" s="35"/>
      <c r="J67" s="35"/>
      <c r="K67" s="35"/>
      <c r="L67" s="35"/>
      <c r="M67" s="35"/>
      <c r="N67" s="36">
        <f t="shared" si="11"/>
        <v>1750</v>
      </c>
    </row>
    <row r="68" spans="1:14" x14ac:dyDescent="0.3">
      <c r="A68" s="3" t="s">
        <v>75</v>
      </c>
      <c r="B68" s="37">
        <f t="shared" ref="B68:M68" si="12">((((((((((((((((B51)+(B52))+(B53))+(B54))+(B55))+(B56))+(B57))+(B58))+(B59))+(B60))+(B61))+(B62))+(B63))+(B64))+(B65))+(B66))+(B67)</f>
        <v>941.62</v>
      </c>
      <c r="C68" s="37">
        <f t="shared" si="12"/>
        <v>17952.28</v>
      </c>
      <c r="D68" s="37">
        <f t="shared" si="12"/>
        <v>2231.4299999999998</v>
      </c>
      <c r="E68" s="37">
        <f t="shared" si="12"/>
        <v>5283.83</v>
      </c>
      <c r="F68" s="37">
        <f t="shared" si="12"/>
        <v>2974.3</v>
      </c>
      <c r="G68" s="37">
        <f t="shared" si="12"/>
        <v>10593.460000000001</v>
      </c>
      <c r="H68" s="37">
        <f t="shared" si="12"/>
        <v>1677.12</v>
      </c>
      <c r="I68" s="37">
        <f t="shared" si="12"/>
        <v>12895.060000000001</v>
      </c>
      <c r="J68" s="37">
        <f t="shared" si="12"/>
        <v>4648.12</v>
      </c>
      <c r="K68" s="37">
        <f t="shared" si="12"/>
        <v>1561.27</v>
      </c>
      <c r="L68" s="37">
        <f t="shared" si="12"/>
        <v>1224.1199999999999</v>
      </c>
      <c r="M68" s="37">
        <f t="shared" si="12"/>
        <v>1172.3</v>
      </c>
      <c r="N68" s="37">
        <f t="shared" si="11"/>
        <v>63154.910000000011</v>
      </c>
    </row>
    <row r="69" spans="1:14" x14ac:dyDescent="0.3">
      <c r="A69" s="3" t="s">
        <v>76</v>
      </c>
      <c r="B69" s="37">
        <f t="shared" ref="B69:M69" si="13">(B49)-(B68)</f>
        <v>312440.42</v>
      </c>
      <c r="C69" s="37">
        <f t="shared" si="13"/>
        <v>-19325.419999999998</v>
      </c>
      <c r="D69" s="37">
        <f t="shared" si="13"/>
        <v>-14175.060000000001</v>
      </c>
      <c r="E69" s="37">
        <f t="shared" si="13"/>
        <v>-13699.56</v>
      </c>
      <c r="F69" s="37">
        <f t="shared" si="13"/>
        <v>-29860.13</v>
      </c>
      <c r="G69" s="37">
        <f t="shared" si="13"/>
        <v>-26486.21</v>
      </c>
      <c r="H69" s="37">
        <f t="shared" si="13"/>
        <v>-53026.320000000007</v>
      </c>
      <c r="I69" s="37">
        <f t="shared" si="13"/>
        <v>-38198.17</v>
      </c>
      <c r="J69" s="37">
        <f t="shared" si="13"/>
        <v>-37307.47</v>
      </c>
      <c r="K69" s="37">
        <f t="shared" si="13"/>
        <v>-32232.750000000004</v>
      </c>
      <c r="L69" s="37">
        <f t="shared" si="13"/>
        <v>-11700.619999999999</v>
      </c>
      <c r="M69" s="37">
        <f t="shared" si="13"/>
        <v>-13433.889999999998</v>
      </c>
      <c r="N69" s="37">
        <f t="shared" si="11"/>
        <v>22994.820000000007</v>
      </c>
    </row>
    <row r="70" spans="1:14" x14ac:dyDescent="0.3">
      <c r="A70" s="3" t="s">
        <v>77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</row>
    <row r="71" spans="1:14" x14ac:dyDescent="0.3">
      <c r="A71" s="3" t="s">
        <v>78</v>
      </c>
      <c r="B71" s="36">
        <f>151.52</f>
        <v>151.52000000000001</v>
      </c>
      <c r="C71" s="35"/>
      <c r="D71" s="35"/>
      <c r="E71" s="35"/>
      <c r="F71" s="35"/>
      <c r="G71" s="35"/>
      <c r="H71" s="35"/>
      <c r="I71" s="35"/>
      <c r="J71" s="36">
        <f>363.53</f>
        <v>363.53</v>
      </c>
      <c r="K71" s="35"/>
      <c r="L71" s="35"/>
      <c r="M71" s="35"/>
      <c r="N71" s="36">
        <f>(((((((((((B71)+(C71))+(D71))+(E71))+(F71))+(G71))+(H71))+(I71))+(J71))+(K71))+(L71))+(M71)</f>
        <v>515.04999999999995</v>
      </c>
    </row>
    <row r="72" spans="1:14" x14ac:dyDescent="0.3">
      <c r="A72" s="3" t="s">
        <v>79</v>
      </c>
      <c r="B72" s="37">
        <f t="shared" ref="B72:M72" si="14">B71</f>
        <v>151.52000000000001</v>
      </c>
      <c r="C72" s="37">
        <f t="shared" si="14"/>
        <v>0</v>
      </c>
      <c r="D72" s="37">
        <f t="shared" si="14"/>
        <v>0</v>
      </c>
      <c r="E72" s="37">
        <f t="shared" si="14"/>
        <v>0</v>
      </c>
      <c r="F72" s="37">
        <f t="shared" si="14"/>
        <v>0</v>
      </c>
      <c r="G72" s="37">
        <f t="shared" si="14"/>
        <v>0</v>
      </c>
      <c r="H72" s="37">
        <f t="shared" si="14"/>
        <v>0</v>
      </c>
      <c r="I72" s="37">
        <f t="shared" si="14"/>
        <v>0</v>
      </c>
      <c r="J72" s="37">
        <f t="shared" si="14"/>
        <v>363.53</v>
      </c>
      <c r="K72" s="37">
        <f t="shared" si="14"/>
        <v>0</v>
      </c>
      <c r="L72" s="37">
        <f t="shared" si="14"/>
        <v>0</v>
      </c>
      <c r="M72" s="37">
        <f t="shared" si="14"/>
        <v>0</v>
      </c>
      <c r="N72" s="37">
        <f>(((((((((((B72)+(C72))+(D72))+(E72))+(F72))+(G72))+(H72))+(I72))+(J72))+(K72))+(L72))+(M72)</f>
        <v>515.04999999999995</v>
      </c>
    </row>
    <row r="73" spans="1:14" x14ac:dyDescent="0.3">
      <c r="A73" s="3" t="s">
        <v>80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</row>
    <row r="74" spans="1:14" x14ac:dyDescent="0.3">
      <c r="A74" s="3" t="s">
        <v>81</v>
      </c>
      <c r="B74" s="36">
        <f>12</f>
        <v>12</v>
      </c>
      <c r="C74" s="36">
        <f>12</f>
        <v>12</v>
      </c>
      <c r="D74" s="36">
        <f>12</f>
        <v>12</v>
      </c>
      <c r="E74" s="36">
        <f>12</f>
        <v>12</v>
      </c>
      <c r="F74" s="36">
        <f>12</f>
        <v>12</v>
      </c>
      <c r="G74" s="36">
        <f>12</f>
        <v>12</v>
      </c>
      <c r="H74" s="36">
        <f>12</f>
        <v>12</v>
      </c>
      <c r="I74" s="36">
        <f>12</f>
        <v>12</v>
      </c>
      <c r="J74" s="36">
        <f>12</f>
        <v>12</v>
      </c>
      <c r="K74" s="36">
        <f>12</f>
        <v>12</v>
      </c>
      <c r="L74" s="36">
        <f>12</f>
        <v>12</v>
      </c>
      <c r="M74" s="36">
        <f>12</f>
        <v>12</v>
      </c>
      <c r="N74" s="36">
        <f t="shared" ref="N74:N80" si="15">(((((((((((B74)+(C74))+(D74))+(E74))+(F74))+(G74))+(H74))+(I74))+(J74))+(K74))+(L74))+(M74)</f>
        <v>144</v>
      </c>
    </row>
    <row r="75" spans="1:14" x14ac:dyDescent="0.3">
      <c r="A75" s="3" t="s">
        <v>95</v>
      </c>
      <c r="B75" s="36">
        <f>3600</f>
        <v>3600</v>
      </c>
      <c r="C75" s="36">
        <f>3600</f>
        <v>3600</v>
      </c>
      <c r="D75" s="36">
        <f>3600</f>
        <v>3600</v>
      </c>
      <c r="E75" s="36">
        <f>3600</f>
        <v>3600</v>
      </c>
      <c r="F75" s="36">
        <f>3600</f>
        <v>3600</v>
      </c>
      <c r="G75" s="36">
        <f>3600</f>
        <v>3600</v>
      </c>
      <c r="H75" s="36">
        <f>3600</f>
        <v>3600</v>
      </c>
      <c r="I75" s="36">
        <f>3600</f>
        <v>3600</v>
      </c>
      <c r="J75" s="36">
        <f>3600</f>
        <v>3600</v>
      </c>
      <c r="K75" s="36">
        <f>3600</f>
        <v>3600</v>
      </c>
      <c r="L75" s="36">
        <f>3600</f>
        <v>3600</v>
      </c>
      <c r="M75" s="36">
        <f>3600</f>
        <v>3600</v>
      </c>
      <c r="N75" s="36">
        <f t="shared" si="15"/>
        <v>43200</v>
      </c>
    </row>
    <row r="76" spans="1:14" x14ac:dyDescent="0.3">
      <c r="A76" s="3" t="s">
        <v>93</v>
      </c>
      <c r="B76" s="36">
        <f>1562.4</f>
        <v>1562.4</v>
      </c>
      <c r="C76" s="36">
        <f>1562.4</f>
        <v>1562.4</v>
      </c>
      <c r="D76" s="36">
        <f>1403.09</f>
        <v>1403.09</v>
      </c>
      <c r="E76" s="36">
        <f>1548.25</f>
        <v>1548.25</v>
      </c>
      <c r="F76" s="36">
        <f>1493.95</f>
        <v>1493.95</v>
      </c>
      <c r="G76" s="36">
        <f>1538.82</f>
        <v>1538.82</v>
      </c>
      <c r="H76" s="36">
        <f>1484.91</f>
        <v>1484.91</v>
      </c>
      <c r="I76" s="36">
        <f>1529.6</f>
        <v>1529.6</v>
      </c>
      <c r="J76" s="36">
        <f>1524.7</f>
        <v>1524.7</v>
      </c>
      <c r="K76" s="36">
        <f>1471.31</f>
        <v>1471.31</v>
      </c>
      <c r="L76" s="36">
        <f>1515.49</f>
        <v>1515.49</v>
      </c>
      <c r="M76" s="36">
        <f>1515.49</f>
        <v>1515.49</v>
      </c>
      <c r="N76" s="36">
        <f t="shared" si="15"/>
        <v>18150.410000000003</v>
      </c>
    </row>
    <row r="77" spans="1:14" x14ac:dyDescent="0.3">
      <c r="A77" s="3" t="s">
        <v>94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6">
        <f>336.42</f>
        <v>336.42</v>
      </c>
      <c r="N77" s="36">
        <f t="shared" si="15"/>
        <v>336.42</v>
      </c>
    </row>
    <row r="78" spans="1:14" x14ac:dyDescent="0.3">
      <c r="A78" s="3" t="s">
        <v>82</v>
      </c>
      <c r="B78" s="37">
        <f t="shared" ref="B78:M78" si="16">(((B74)+(B75))+(B76))+(B77)</f>
        <v>5174.3999999999996</v>
      </c>
      <c r="C78" s="37">
        <f t="shared" si="16"/>
        <v>5174.3999999999996</v>
      </c>
      <c r="D78" s="37">
        <f t="shared" si="16"/>
        <v>5015.09</v>
      </c>
      <c r="E78" s="37">
        <f t="shared" si="16"/>
        <v>5160.25</v>
      </c>
      <c r="F78" s="37">
        <f t="shared" si="16"/>
        <v>5105.95</v>
      </c>
      <c r="G78" s="37">
        <f t="shared" si="16"/>
        <v>5150.82</v>
      </c>
      <c r="H78" s="37">
        <f t="shared" si="16"/>
        <v>5096.91</v>
      </c>
      <c r="I78" s="37">
        <f t="shared" si="16"/>
        <v>5141.6000000000004</v>
      </c>
      <c r="J78" s="37">
        <f t="shared" si="16"/>
        <v>5136.7</v>
      </c>
      <c r="K78" s="37">
        <f t="shared" si="16"/>
        <v>5083.3099999999995</v>
      </c>
      <c r="L78" s="37">
        <f t="shared" si="16"/>
        <v>5127.49</v>
      </c>
      <c r="M78" s="37">
        <f t="shared" si="16"/>
        <v>5463.91</v>
      </c>
      <c r="N78" s="37">
        <f t="shared" si="15"/>
        <v>61830.829999999987</v>
      </c>
    </row>
    <row r="79" spans="1:14" x14ac:dyDescent="0.3">
      <c r="A79" s="3" t="s">
        <v>83</v>
      </c>
      <c r="B79" s="37">
        <f t="shared" ref="B79:M79" si="17">(B72)-(B78)</f>
        <v>-5022.8799999999992</v>
      </c>
      <c r="C79" s="37">
        <f t="shared" si="17"/>
        <v>-5174.3999999999996</v>
      </c>
      <c r="D79" s="37">
        <f t="shared" si="17"/>
        <v>-5015.09</v>
      </c>
      <c r="E79" s="37">
        <f t="shared" si="17"/>
        <v>-5160.25</v>
      </c>
      <c r="F79" s="37">
        <f t="shared" si="17"/>
        <v>-5105.95</v>
      </c>
      <c r="G79" s="37">
        <f t="shared" si="17"/>
        <v>-5150.82</v>
      </c>
      <c r="H79" s="37">
        <f t="shared" si="17"/>
        <v>-5096.91</v>
      </c>
      <c r="I79" s="37">
        <f t="shared" si="17"/>
        <v>-5141.6000000000004</v>
      </c>
      <c r="J79" s="37">
        <f t="shared" si="17"/>
        <v>-4773.17</v>
      </c>
      <c r="K79" s="37">
        <f t="shared" si="17"/>
        <v>-5083.3099999999995</v>
      </c>
      <c r="L79" s="37">
        <f t="shared" si="17"/>
        <v>-5127.49</v>
      </c>
      <c r="M79" s="37">
        <f t="shared" si="17"/>
        <v>-5463.91</v>
      </c>
      <c r="N79" s="37">
        <f t="shared" si="15"/>
        <v>-61315.78</v>
      </c>
    </row>
    <row r="80" spans="1:14" ht="15" thickBot="1" x14ac:dyDescent="0.35">
      <c r="A80" s="3" t="s">
        <v>84</v>
      </c>
      <c r="B80" s="38">
        <f t="shared" ref="B80:M80" si="18">(B69)+(B79)</f>
        <v>307417.53999999998</v>
      </c>
      <c r="C80" s="38">
        <f t="shared" si="18"/>
        <v>-24499.82</v>
      </c>
      <c r="D80" s="38">
        <f t="shared" si="18"/>
        <v>-19190.150000000001</v>
      </c>
      <c r="E80" s="38">
        <f t="shared" si="18"/>
        <v>-18859.809999999998</v>
      </c>
      <c r="F80" s="38">
        <f t="shared" si="18"/>
        <v>-34966.080000000002</v>
      </c>
      <c r="G80" s="38">
        <f t="shared" si="18"/>
        <v>-31637.03</v>
      </c>
      <c r="H80" s="38">
        <f t="shared" si="18"/>
        <v>-58123.23000000001</v>
      </c>
      <c r="I80" s="38">
        <f t="shared" si="18"/>
        <v>-43339.77</v>
      </c>
      <c r="J80" s="38">
        <f t="shared" si="18"/>
        <v>-42080.639999999999</v>
      </c>
      <c r="K80" s="38">
        <f t="shared" si="18"/>
        <v>-37316.060000000005</v>
      </c>
      <c r="L80" s="38">
        <f t="shared" si="18"/>
        <v>-16828.11</v>
      </c>
      <c r="M80" s="38">
        <f t="shared" si="18"/>
        <v>-18897.799999999996</v>
      </c>
      <c r="N80" s="38">
        <f t="shared" si="15"/>
        <v>-38320.960000000065</v>
      </c>
    </row>
    <row r="81" spans="1:14" ht="15" thickTop="1" x14ac:dyDescent="0.3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4" spans="1:14" x14ac:dyDescent="0.3">
      <c r="A84" s="5" t="s">
        <v>92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x14ac:dyDescent="0.3">
      <c r="A85" s="7" t="s">
        <v>85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x14ac:dyDescent="0.3">
      <c r="A86" s="7" t="s">
        <v>86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x14ac:dyDescent="0.3">
      <c r="A87" s="7" t="s">
        <v>87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9" spans="1:14" x14ac:dyDescent="0.3">
      <c r="A89" s="8" t="s">
        <v>88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</sheetData>
  <mergeCells count="8">
    <mergeCell ref="A1:N1"/>
    <mergeCell ref="A2:N2"/>
    <mergeCell ref="A3:N3"/>
    <mergeCell ref="A84:N84"/>
    <mergeCell ref="A85:N85"/>
    <mergeCell ref="A86:N86"/>
    <mergeCell ref="A87:N87"/>
    <mergeCell ref="A89:N8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D7FA-537C-4729-AAB4-575B5E1ADEA7}">
  <dimension ref="A1:D36"/>
  <sheetViews>
    <sheetView tabSelected="1" topLeftCell="A11" workbookViewId="0">
      <selection activeCell="H41" sqref="H41"/>
    </sheetView>
  </sheetViews>
  <sheetFormatPr defaultColWidth="12.5546875" defaultRowHeight="15.6" outlineLevelRow="2" x14ac:dyDescent="0.3"/>
  <cols>
    <col min="1" max="1" width="61.77734375" style="12" customWidth="1"/>
    <col min="2" max="2" width="18.88671875" style="12" customWidth="1"/>
    <col min="3" max="16384" width="12.5546875" style="11"/>
  </cols>
  <sheetData>
    <row r="1" spans="1:4" x14ac:dyDescent="0.3">
      <c r="A1" s="28" t="s">
        <v>264</v>
      </c>
      <c r="B1" s="13"/>
    </row>
    <row r="2" spans="1:4" x14ac:dyDescent="0.3">
      <c r="A2" s="27" t="s">
        <v>89</v>
      </c>
      <c r="B2" s="13"/>
    </row>
    <row r="3" spans="1:4" x14ac:dyDescent="0.3">
      <c r="A3" s="26" t="s">
        <v>171</v>
      </c>
      <c r="B3" s="13"/>
    </row>
    <row r="5" spans="1:4" x14ac:dyDescent="0.3">
      <c r="A5" s="23" t="s">
        <v>263</v>
      </c>
      <c r="B5" s="23" t="s">
        <v>266</v>
      </c>
      <c r="C5" s="23" t="s">
        <v>267</v>
      </c>
      <c r="D5"/>
    </row>
    <row r="6" spans="1:4" x14ac:dyDescent="0.3">
      <c r="A6" s="20" t="s">
        <v>262</v>
      </c>
      <c r="D6"/>
    </row>
    <row r="7" spans="1:4" outlineLevel="1" x14ac:dyDescent="0.3">
      <c r="A7" s="19" t="s">
        <v>84</v>
      </c>
      <c r="B7" s="42">
        <v>-38320.960000000021</v>
      </c>
      <c r="C7" s="42">
        <v>-72563.98</v>
      </c>
      <c r="D7"/>
    </row>
    <row r="8" spans="1:4" outlineLevel="1" x14ac:dyDescent="0.3">
      <c r="A8" s="19" t="s">
        <v>261</v>
      </c>
      <c r="B8" s="43"/>
      <c r="C8" s="43"/>
      <c r="D8"/>
    </row>
    <row r="9" spans="1:4" outlineLevel="2" x14ac:dyDescent="0.3">
      <c r="A9" s="22" t="s">
        <v>195</v>
      </c>
      <c r="B9" s="42">
        <v>-16614.64</v>
      </c>
      <c r="C9" s="42">
        <v>16574.509999999998</v>
      </c>
      <c r="D9"/>
    </row>
    <row r="10" spans="1:4" outlineLevel="2" x14ac:dyDescent="0.3">
      <c r="A10" s="22" t="s">
        <v>231</v>
      </c>
      <c r="B10" s="42">
        <v>-2449.17</v>
      </c>
      <c r="C10" s="42">
        <v>-540.25</v>
      </c>
      <c r="D10"/>
    </row>
    <row r="11" spans="1:4" outlineLevel="2" x14ac:dyDescent="0.3">
      <c r="A11" s="22" t="s">
        <v>260</v>
      </c>
      <c r="B11" s="42">
        <v>1200</v>
      </c>
      <c r="C11" s="42">
        <v>992</v>
      </c>
      <c r="D11"/>
    </row>
    <row r="12" spans="1:4" outlineLevel="2" x14ac:dyDescent="0.3">
      <c r="A12" s="22" t="s">
        <v>259</v>
      </c>
      <c r="B12" s="42">
        <v>22800</v>
      </c>
      <c r="C12" s="42">
        <v>22475</v>
      </c>
      <c r="D12"/>
    </row>
    <row r="13" spans="1:4" outlineLevel="2" x14ac:dyDescent="0.3">
      <c r="A13" s="22" t="s">
        <v>258</v>
      </c>
      <c r="B13" s="42">
        <v>13800</v>
      </c>
      <c r="C13" s="42">
        <v>12954</v>
      </c>
      <c r="D13"/>
    </row>
    <row r="14" spans="1:4" outlineLevel="2" x14ac:dyDescent="0.3">
      <c r="A14" s="22" t="s">
        <v>257</v>
      </c>
      <c r="B14" s="42">
        <v>600</v>
      </c>
      <c r="C14" s="42">
        <v>576</v>
      </c>
      <c r="D14"/>
    </row>
    <row r="15" spans="1:4" outlineLevel="2" x14ac:dyDescent="0.3">
      <c r="A15" s="22" t="s">
        <v>228</v>
      </c>
      <c r="B15" s="42">
        <v>3450</v>
      </c>
      <c r="C15" s="42">
        <v>-5200</v>
      </c>
      <c r="D15"/>
    </row>
    <row r="16" spans="1:4" outlineLevel="2" x14ac:dyDescent="0.3">
      <c r="A16" s="22" t="s">
        <v>256</v>
      </c>
      <c r="B16" s="42">
        <v>4800</v>
      </c>
      <c r="C16" s="42">
        <v>4631</v>
      </c>
      <c r="D16"/>
    </row>
    <row r="17" spans="1:4" outlineLevel="2" x14ac:dyDescent="0.3">
      <c r="A17" s="22" t="s">
        <v>255</v>
      </c>
      <c r="B17" s="42">
        <v>72</v>
      </c>
      <c r="C17" s="42">
        <v>72</v>
      </c>
      <c r="D17"/>
    </row>
    <row r="18" spans="1:4" outlineLevel="2" x14ac:dyDescent="0.3">
      <c r="A18" s="22" t="s">
        <v>192</v>
      </c>
      <c r="B18" s="42">
        <v>-1736</v>
      </c>
      <c r="C18" s="42">
        <v>1736</v>
      </c>
      <c r="D18"/>
    </row>
    <row r="19" spans="1:4" outlineLevel="1" x14ac:dyDescent="0.3">
      <c r="A19" s="21" t="s">
        <v>254</v>
      </c>
      <c r="B19" s="41">
        <f>B8+B9+B10+B11+B12+B13+B14+B15+B16+B17+B18</f>
        <v>25922.190000000002</v>
      </c>
      <c r="C19" s="41">
        <f>C8+C9+C10+C11+C12+C13+C14+C15+C16+C17+C18</f>
        <v>54270.259999999995</v>
      </c>
      <c r="D19"/>
    </row>
    <row r="20" spans="1:4" x14ac:dyDescent="0.3">
      <c r="A20" s="16" t="s">
        <v>253</v>
      </c>
      <c r="B20" s="41">
        <f>B7+B19</f>
        <v>-12398.770000000019</v>
      </c>
      <c r="C20" s="41">
        <f>C7+C19</f>
        <v>-18293.72</v>
      </c>
      <c r="D20"/>
    </row>
    <row r="21" spans="1:4" x14ac:dyDescent="0.3">
      <c r="A21" s="20" t="s">
        <v>252</v>
      </c>
      <c r="B21" s="43"/>
      <c r="C21" s="43"/>
      <c r="D21"/>
    </row>
    <row r="22" spans="1:4" outlineLevel="1" x14ac:dyDescent="0.3">
      <c r="A22" s="19" t="s">
        <v>251</v>
      </c>
      <c r="B22" s="42">
        <v>-306.18</v>
      </c>
      <c r="C22" s="42">
        <v>-44063.24</v>
      </c>
      <c r="D22"/>
    </row>
    <row r="23" spans="1:4" outlineLevel="1" x14ac:dyDescent="0.3">
      <c r="A23" s="19" t="s">
        <v>250</v>
      </c>
      <c r="B23" s="42">
        <v>72</v>
      </c>
      <c r="C23" s="42">
        <v>72</v>
      </c>
      <c r="D23"/>
    </row>
    <row r="24" spans="1:4" outlineLevel="1" x14ac:dyDescent="0.3">
      <c r="A24" s="19" t="s">
        <v>265</v>
      </c>
      <c r="B24" s="42">
        <v>0</v>
      </c>
      <c r="C24" s="42">
        <v>-7705</v>
      </c>
      <c r="D24"/>
    </row>
    <row r="25" spans="1:4" x14ac:dyDescent="0.3">
      <c r="A25" s="16" t="s">
        <v>249</v>
      </c>
      <c r="B25" s="41">
        <f>B22+B23+B24</f>
        <v>-234.18</v>
      </c>
      <c r="C25" s="41">
        <f>C22+C23+C24</f>
        <v>-51696.24</v>
      </c>
      <c r="D25"/>
    </row>
    <row r="26" spans="1:4" x14ac:dyDescent="0.3">
      <c r="A26" s="20" t="s">
        <v>248</v>
      </c>
      <c r="B26" s="43"/>
      <c r="C26" s="43"/>
      <c r="D26"/>
    </row>
    <row r="27" spans="1:4" outlineLevel="1" x14ac:dyDescent="0.3">
      <c r="A27" s="19" t="s">
        <v>184</v>
      </c>
      <c r="B27" s="42">
        <v>39000</v>
      </c>
      <c r="C27" s="42">
        <v>41500</v>
      </c>
      <c r="D27"/>
    </row>
    <row r="28" spans="1:4" outlineLevel="1" x14ac:dyDescent="0.3">
      <c r="A28" s="19" t="s">
        <v>247</v>
      </c>
      <c r="B28" s="42">
        <v>-13190.59</v>
      </c>
      <c r="C28" s="42">
        <v>-12597.57</v>
      </c>
      <c r="D28"/>
    </row>
    <row r="29" spans="1:4" x14ac:dyDescent="0.3">
      <c r="A29" s="16" t="s">
        <v>246</v>
      </c>
      <c r="B29" s="41">
        <f>B27+B28</f>
        <v>25809.41</v>
      </c>
      <c r="C29" s="41">
        <f>C27+C28</f>
        <v>28902.43</v>
      </c>
      <c r="D29"/>
    </row>
    <row r="30" spans="1:4" x14ac:dyDescent="0.3">
      <c r="A30" s="16" t="s">
        <v>245</v>
      </c>
      <c r="B30" s="41">
        <f>B20+B25+B29</f>
        <v>13176.459999999981</v>
      </c>
      <c r="C30" s="41">
        <f>C20+C25+C29</f>
        <v>-41087.529999999992</v>
      </c>
      <c r="D30"/>
    </row>
    <row r="31" spans="1:4" x14ac:dyDescent="0.3">
      <c r="A31" s="16" t="s">
        <v>244</v>
      </c>
      <c r="B31" s="48">
        <v>134359.75</v>
      </c>
      <c r="C31" s="48">
        <v>182278.2</v>
      </c>
      <c r="D31"/>
    </row>
    <row r="32" spans="1:4" x14ac:dyDescent="0.3">
      <c r="A32" s="16" t="s">
        <v>243</v>
      </c>
      <c r="B32" s="17">
        <v>147536.21</v>
      </c>
      <c r="C32" s="17">
        <v>134359.75</v>
      </c>
      <c r="D32"/>
    </row>
    <row r="33" spans="1:4" x14ac:dyDescent="0.3">
      <c r="D33"/>
    </row>
    <row r="36" spans="1:4" x14ac:dyDescent="0.3">
      <c r="A36" s="14" t="s">
        <v>242</v>
      </c>
      <c r="B36" s="13"/>
    </row>
  </sheetData>
  <mergeCells count="4">
    <mergeCell ref="A1:B1"/>
    <mergeCell ref="A2:B2"/>
    <mergeCell ref="A3:B3"/>
    <mergeCell ref="A36:B36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 Sheet 3 Year Compare</vt:lpstr>
      <vt:lpstr>P&amp;L 3 Year Compare</vt:lpstr>
      <vt:lpstr>2025 Monthly Profit and Loss</vt:lpstr>
      <vt:lpstr>2025 Cash 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Ross</cp:lastModifiedBy>
  <dcterms:created xsi:type="dcterms:W3CDTF">2026-02-20T16:35:53Z</dcterms:created>
  <dcterms:modified xsi:type="dcterms:W3CDTF">2026-02-20T17:19:46Z</dcterms:modified>
</cp:coreProperties>
</file>