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ros\Documents\Cardinal ST\Cardinal 2026\2026 Financials\"/>
    </mc:Choice>
  </mc:AlternateContent>
  <xr:revisionPtr revIDLastSave="0" documentId="13_ncr:1_{B208E750-A5CB-4EC0-9990-74BB797E6369}" xr6:coauthVersionLast="47" xr6:coauthVersionMax="47" xr10:uidLastSave="{00000000-0000-0000-0000-000000000000}"/>
  <bookViews>
    <workbookView xWindow="4248" yWindow="0" windowWidth="22296" windowHeight="15864" activeTab="3" xr2:uid="{00000000-000D-0000-FFFF-FFFF00000000}"/>
  </bookViews>
  <sheets>
    <sheet name="Profit and Loss " sheetId="3" r:id="rId1"/>
    <sheet name="Profit and Loss 12mnth rolling" sheetId="2" r:id="rId2"/>
    <sheet name="Balance Sheet" sheetId="4" r:id="rId3"/>
    <sheet name="Statement of Cash Flows" sheetId="5" r:id="rId4"/>
  </sheets>
  <calcPr calcId="191029"/>
</workbook>
</file>

<file path=xl/calcChain.xml><?xml version="1.0" encoding="utf-8"?>
<calcChain xmlns="http://schemas.openxmlformats.org/spreadsheetml/2006/main">
  <c r="B7" i="5" l="1"/>
  <c r="B9" i="5"/>
  <c r="B10" i="5"/>
  <c r="B11" i="5"/>
  <c r="B12" i="5"/>
  <c r="B13" i="5"/>
  <c r="B14" i="5"/>
  <c r="B15" i="5"/>
  <c r="B16" i="5"/>
  <c r="B17" i="5"/>
  <c r="B18" i="5"/>
  <c r="B19" i="5"/>
  <c r="B21" i="5"/>
  <c r="B22" i="5"/>
  <c r="B23" i="5"/>
  <c r="B25" i="5"/>
  <c r="B26" i="5"/>
  <c r="B27" i="5"/>
  <c r="B28" i="5"/>
  <c r="B29" i="5"/>
  <c r="B30" i="5"/>
  <c r="B10" i="4"/>
  <c r="C10" i="4"/>
  <c r="D10" i="4"/>
  <c r="B11" i="4"/>
  <c r="C11" i="4"/>
  <c r="D11" i="4"/>
  <c r="B12" i="4"/>
  <c r="C12" i="4"/>
  <c r="D12" i="4"/>
  <c r="B14" i="4"/>
  <c r="C14" i="4"/>
  <c r="D14" i="4"/>
  <c r="B15" i="4"/>
  <c r="C15" i="4"/>
  <c r="D15" i="4"/>
  <c r="B17" i="4"/>
  <c r="C17" i="4"/>
  <c r="D17" i="4"/>
  <c r="B18" i="4"/>
  <c r="C18" i="4"/>
  <c r="D18" i="4"/>
  <c r="B19" i="4"/>
  <c r="C19" i="4"/>
  <c r="D19" i="4"/>
  <c r="B20" i="4"/>
  <c r="C20" i="4"/>
  <c r="D20" i="4"/>
  <c r="B22" i="4"/>
  <c r="C22" i="4"/>
  <c r="D22" i="4"/>
  <c r="B23" i="4"/>
  <c r="C23" i="4"/>
  <c r="D23" i="4"/>
  <c r="B24" i="4"/>
  <c r="C24" i="4"/>
  <c r="D24" i="4"/>
  <c r="B25" i="4"/>
  <c r="C25" i="4"/>
  <c r="D25" i="4"/>
  <c r="B26" i="4"/>
  <c r="C26" i="4"/>
  <c r="D26" i="4"/>
  <c r="B27" i="4"/>
  <c r="C27" i="4"/>
  <c r="D27" i="4"/>
  <c r="B28" i="4"/>
  <c r="C28" i="4"/>
  <c r="D28" i="4"/>
  <c r="B29" i="4"/>
  <c r="C29" i="4"/>
  <c r="B34" i="4"/>
  <c r="C34" i="4"/>
  <c r="D34" i="4"/>
  <c r="C35" i="4"/>
  <c r="D35" i="4"/>
  <c r="B37" i="4"/>
  <c r="C37" i="4"/>
  <c r="D37" i="4"/>
  <c r="C38" i="4"/>
  <c r="D38" i="4"/>
  <c r="C39" i="4"/>
  <c r="D39" i="4"/>
  <c r="B41" i="4"/>
  <c r="C41" i="4"/>
  <c r="D41" i="4"/>
  <c r="B42" i="4"/>
  <c r="C42" i="4"/>
  <c r="D42" i="4"/>
  <c r="C43" i="4"/>
  <c r="D43" i="4"/>
  <c r="B45" i="4"/>
  <c r="C45" i="4"/>
  <c r="D45" i="4"/>
  <c r="B46" i="4"/>
  <c r="C46" i="4"/>
  <c r="D46" i="4"/>
  <c r="B47" i="4"/>
  <c r="C47" i="4"/>
  <c r="D47" i="4"/>
  <c r="B48" i="4"/>
  <c r="C48" i="4"/>
  <c r="B49" i="4"/>
  <c r="C49" i="4"/>
  <c r="D49" i="4"/>
  <c r="C50" i="4"/>
  <c r="D8" i="3"/>
  <c r="C9" i="3"/>
  <c r="D9" i="3"/>
  <c r="B10" i="3"/>
  <c r="C10" i="3"/>
  <c r="D10" i="3"/>
  <c r="B11" i="3"/>
  <c r="C11" i="3"/>
  <c r="D11" i="3"/>
  <c r="D12" i="3"/>
  <c r="D13" i="3"/>
  <c r="B14" i="3"/>
  <c r="C14" i="3"/>
  <c r="D14" i="3"/>
  <c r="B15" i="3"/>
  <c r="C15" i="3"/>
  <c r="D15" i="3"/>
  <c r="B16" i="3"/>
  <c r="C16" i="3"/>
  <c r="D16" i="3"/>
  <c r="B17" i="3"/>
  <c r="C17" i="3"/>
  <c r="D17" i="3"/>
  <c r="B18" i="3"/>
  <c r="D18" i="3"/>
  <c r="B19" i="3"/>
  <c r="C19" i="3"/>
  <c r="D19" i="3"/>
  <c r="B22" i="3"/>
  <c r="C22" i="3"/>
  <c r="D22" i="3"/>
  <c r="B23" i="3"/>
  <c r="C23" i="3"/>
  <c r="D23" i="3"/>
  <c r="B24" i="3"/>
  <c r="C24" i="3"/>
  <c r="D24" i="3"/>
  <c r="D26" i="3"/>
  <c r="B27" i="3"/>
  <c r="C27" i="3"/>
  <c r="D27" i="3"/>
  <c r="B28" i="3"/>
  <c r="C28" i="3"/>
  <c r="D28" i="3"/>
  <c r="B29" i="3"/>
  <c r="C29" i="3"/>
  <c r="D29" i="3"/>
  <c r="B30" i="3"/>
  <c r="C30" i="3"/>
  <c r="D30" i="3"/>
  <c r="C32" i="3"/>
  <c r="D32" i="3"/>
  <c r="B33" i="3"/>
  <c r="C33" i="3"/>
  <c r="D33" i="3"/>
  <c r="C34" i="3"/>
  <c r="D34" i="3"/>
  <c r="B35" i="3"/>
  <c r="D35" i="3"/>
  <c r="B36" i="3"/>
  <c r="C36" i="3"/>
  <c r="D36" i="3"/>
  <c r="B38" i="3"/>
  <c r="C38" i="3"/>
  <c r="D38" i="3"/>
  <c r="B39" i="3"/>
  <c r="C39" i="3"/>
  <c r="D39" i="3"/>
  <c r="B40" i="3"/>
  <c r="C40" i="3"/>
  <c r="D40" i="3"/>
  <c r="B41" i="3"/>
  <c r="D41" i="3"/>
  <c r="B42" i="3"/>
  <c r="C42" i="3"/>
  <c r="D42" i="3"/>
  <c r="B44" i="3"/>
  <c r="C44" i="3"/>
  <c r="D44" i="3"/>
  <c r="B45" i="3"/>
  <c r="C45" i="3"/>
  <c r="D45" i="3"/>
  <c r="B46" i="3"/>
  <c r="C46" i="3"/>
  <c r="D46" i="3"/>
  <c r="B47" i="3"/>
  <c r="C47" i="3"/>
  <c r="D47" i="3"/>
  <c r="D48" i="3"/>
  <c r="B49" i="3"/>
  <c r="C49" i="3"/>
  <c r="D49" i="3"/>
  <c r="B50" i="3"/>
  <c r="C50" i="3"/>
  <c r="D52" i="3"/>
  <c r="B53" i="3"/>
  <c r="C53" i="3"/>
  <c r="D53" i="3"/>
  <c r="C54" i="3"/>
  <c r="D54" i="3"/>
  <c r="D55" i="3"/>
  <c r="B56" i="3"/>
  <c r="C56" i="3"/>
  <c r="D56" i="3"/>
  <c r="B57" i="3"/>
  <c r="C57" i="3"/>
  <c r="D57" i="3"/>
  <c r="D58" i="3"/>
  <c r="C59" i="3"/>
  <c r="D59" i="3"/>
  <c r="B60" i="3"/>
  <c r="C60" i="3"/>
  <c r="D60" i="3"/>
  <c r="C61" i="3"/>
  <c r="D61" i="3"/>
  <c r="D62" i="3"/>
  <c r="B63" i="3"/>
  <c r="C63" i="3"/>
  <c r="D63" i="3"/>
  <c r="B64" i="3"/>
  <c r="D64" i="3"/>
  <c r="D65" i="3"/>
  <c r="D66" i="3"/>
  <c r="D67" i="3"/>
  <c r="C71" i="3"/>
  <c r="D71" i="3"/>
  <c r="B72" i="3"/>
  <c r="C72" i="3"/>
  <c r="D72" i="3"/>
  <c r="B74" i="3"/>
  <c r="C74" i="3"/>
  <c r="D74" i="3"/>
  <c r="B75" i="3"/>
  <c r="C75" i="3"/>
  <c r="D75" i="3"/>
  <c r="B76" i="3"/>
  <c r="C76" i="3"/>
  <c r="D76" i="3"/>
  <c r="D77" i="3"/>
  <c r="B78" i="3"/>
  <c r="B79" i="3"/>
  <c r="C79" i="3"/>
  <c r="D79" i="3"/>
  <c r="B80" i="3"/>
  <c r="C80" i="3"/>
  <c r="D80" i="3"/>
  <c r="C7" i="2"/>
  <c r="D7" i="2"/>
  <c r="E7" i="2"/>
  <c r="G7" i="2"/>
  <c r="N7" i="2"/>
  <c r="B8" i="2"/>
  <c r="N8" i="2"/>
  <c r="B9" i="2"/>
  <c r="C9" i="2"/>
  <c r="D9" i="2"/>
  <c r="E9" i="2"/>
  <c r="F9" i="2"/>
  <c r="G9" i="2"/>
  <c r="H9" i="2"/>
  <c r="J9" i="2"/>
  <c r="K9" i="2"/>
  <c r="L9" i="2"/>
  <c r="M9" i="2"/>
  <c r="N9" i="2"/>
  <c r="C10" i="2"/>
  <c r="D10" i="2"/>
  <c r="E10" i="2"/>
  <c r="G10" i="2"/>
  <c r="I10" i="2"/>
  <c r="J10" i="2"/>
  <c r="K10" i="2"/>
  <c r="L10" i="2"/>
  <c r="M10" i="2"/>
  <c r="N10" i="2"/>
  <c r="B11" i="2"/>
  <c r="D11" i="2"/>
  <c r="N11" i="2"/>
  <c r="H12" i="2"/>
  <c r="N12" i="2"/>
  <c r="C13" i="2"/>
  <c r="D13" i="2"/>
  <c r="E13" i="2"/>
  <c r="F13" i="2"/>
  <c r="G13" i="2"/>
  <c r="L13" i="2"/>
  <c r="M13" i="2"/>
  <c r="N13" i="2"/>
  <c r="B14" i="2"/>
  <c r="C14" i="2"/>
  <c r="D14" i="2"/>
  <c r="E14" i="2"/>
  <c r="M14" i="2"/>
  <c r="B15" i="2"/>
  <c r="E15" i="2"/>
  <c r="F15" i="2"/>
  <c r="G15" i="2"/>
  <c r="H15" i="2"/>
  <c r="I15" i="2"/>
  <c r="J15" i="2"/>
  <c r="K15" i="2"/>
  <c r="M15" i="2"/>
  <c r="N15" i="2"/>
  <c r="B16" i="2"/>
  <c r="C16" i="2"/>
  <c r="D16" i="2"/>
  <c r="E16" i="2"/>
  <c r="F16" i="2"/>
  <c r="G16" i="2"/>
  <c r="H16" i="2"/>
  <c r="I16" i="2"/>
  <c r="K16" i="2"/>
  <c r="M16" i="2"/>
  <c r="N16" i="2"/>
  <c r="C17" i="2"/>
  <c r="M17" i="2"/>
  <c r="N17" i="2"/>
  <c r="E18" i="2"/>
  <c r="F18" i="2"/>
  <c r="G18" i="2"/>
  <c r="H18" i="2"/>
  <c r="I18" i="2"/>
  <c r="J18" i="2"/>
  <c r="K18" i="2"/>
  <c r="L18" i="2"/>
  <c r="M18" i="2"/>
  <c r="N20" i="2"/>
  <c r="B21" i="2"/>
  <c r="C21" i="2"/>
  <c r="D21" i="2"/>
  <c r="E21" i="2"/>
  <c r="F21" i="2"/>
  <c r="G21" i="2"/>
  <c r="H21" i="2"/>
  <c r="I21" i="2"/>
  <c r="J21" i="2"/>
  <c r="K21" i="2"/>
  <c r="L21" i="2"/>
  <c r="M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E23" i="2"/>
  <c r="F23" i="2"/>
  <c r="G23" i="2"/>
  <c r="H23" i="2"/>
  <c r="I23" i="2"/>
  <c r="J23" i="2"/>
  <c r="K23" i="2"/>
  <c r="L23" i="2"/>
  <c r="M23" i="2"/>
  <c r="N24" i="2"/>
  <c r="B25" i="2"/>
  <c r="C25" i="2"/>
  <c r="D25" i="2"/>
  <c r="E25" i="2"/>
  <c r="F25" i="2"/>
  <c r="G25" i="2"/>
  <c r="N25" i="2"/>
  <c r="B26" i="2"/>
  <c r="D26" i="2"/>
  <c r="E26" i="2"/>
  <c r="F26" i="2"/>
  <c r="G26" i="2"/>
  <c r="I26" i="2"/>
  <c r="J26" i="2"/>
  <c r="K26" i="2"/>
  <c r="L26" i="2"/>
  <c r="M26" i="2"/>
  <c r="N26" i="2"/>
  <c r="B27" i="2"/>
  <c r="D27" i="2"/>
  <c r="E27" i="2"/>
  <c r="F27" i="2"/>
  <c r="G27" i="2"/>
  <c r="I27" i="2"/>
  <c r="J27" i="2"/>
  <c r="K27" i="2"/>
  <c r="L27" i="2"/>
  <c r="M27" i="2"/>
  <c r="N27" i="2"/>
  <c r="B28" i="2"/>
  <c r="C28" i="2"/>
  <c r="D28" i="2"/>
  <c r="E28" i="2"/>
  <c r="G28" i="2"/>
  <c r="H28" i="2"/>
  <c r="L28" i="2"/>
  <c r="N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N30" i="2"/>
  <c r="B31" i="2"/>
  <c r="D31" i="2"/>
  <c r="E31" i="2"/>
  <c r="F31" i="2"/>
  <c r="G31" i="2"/>
  <c r="I31" i="2"/>
  <c r="N31" i="2"/>
  <c r="B32" i="2"/>
  <c r="D32" i="2"/>
  <c r="E32" i="2"/>
  <c r="F32" i="2"/>
  <c r="G32" i="2"/>
  <c r="I32" i="2"/>
  <c r="J32" i="2"/>
  <c r="K32" i="2"/>
  <c r="L32" i="2"/>
  <c r="M32" i="2"/>
  <c r="N32" i="2"/>
  <c r="B33" i="2"/>
  <c r="C33" i="2"/>
  <c r="D33" i="2"/>
  <c r="E33" i="2"/>
  <c r="N33" i="2"/>
  <c r="D34" i="2"/>
  <c r="M34" i="2"/>
  <c r="N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N36" i="2"/>
  <c r="B37" i="2"/>
  <c r="C37" i="2"/>
  <c r="E37" i="2"/>
  <c r="F37" i="2"/>
  <c r="G37" i="2"/>
  <c r="H37" i="2"/>
  <c r="J37" i="2"/>
  <c r="K37" i="2"/>
  <c r="L37" i="2"/>
  <c r="M37" i="2"/>
  <c r="N37" i="2"/>
  <c r="B38" i="2"/>
  <c r="C38" i="2"/>
  <c r="E38" i="2"/>
  <c r="G38" i="2"/>
  <c r="J38" i="2"/>
  <c r="M38" i="2"/>
  <c r="N38" i="2"/>
  <c r="B39" i="2"/>
  <c r="C39" i="2"/>
  <c r="G39" i="2"/>
  <c r="J39" i="2"/>
  <c r="M39" i="2"/>
  <c r="N39" i="2"/>
  <c r="D40" i="2"/>
  <c r="M40" i="2"/>
  <c r="N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N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B45" i="2"/>
  <c r="C45" i="2"/>
  <c r="D45" i="2"/>
  <c r="E45" i="2"/>
  <c r="F45" i="2"/>
  <c r="G45" i="2"/>
  <c r="H45" i="2"/>
  <c r="I45" i="2"/>
  <c r="J45" i="2"/>
  <c r="K45" i="2"/>
  <c r="L45" i="2"/>
  <c r="M45" i="2"/>
  <c r="B46" i="2"/>
  <c r="C46" i="2"/>
  <c r="D46" i="2"/>
  <c r="E46" i="2"/>
  <c r="F46" i="2"/>
  <c r="G46" i="2"/>
  <c r="H46" i="2"/>
  <c r="I46" i="2"/>
  <c r="J46" i="2"/>
  <c r="K46" i="2"/>
  <c r="L46" i="2"/>
  <c r="M46" i="2"/>
  <c r="E47" i="2"/>
  <c r="N47" i="2"/>
  <c r="E48" i="2"/>
  <c r="F48" i="2"/>
  <c r="G48" i="2"/>
  <c r="H48" i="2"/>
  <c r="I48" i="2"/>
  <c r="J48" i="2"/>
  <c r="K48" i="2"/>
  <c r="L48" i="2"/>
  <c r="M48" i="2"/>
  <c r="E49" i="2"/>
  <c r="F49" i="2"/>
  <c r="G49" i="2"/>
  <c r="H49" i="2"/>
  <c r="I49" i="2"/>
  <c r="J49" i="2"/>
  <c r="K49" i="2"/>
  <c r="L49" i="2"/>
  <c r="M49" i="2"/>
  <c r="F51" i="2"/>
  <c r="G51" i="2"/>
  <c r="N51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B53" i="2"/>
  <c r="C53" i="2"/>
  <c r="D53" i="2"/>
  <c r="E53" i="2"/>
  <c r="F53" i="2"/>
  <c r="G53" i="2"/>
  <c r="H53" i="2"/>
  <c r="N53" i="2"/>
  <c r="F54" i="2"/>
  <c r="N54" i="2"/>
  <c r="D55" i="2"/>
  <c r="L55" i="2"/>
  <c r="N55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C57" i="2"/>
  <c r="D57" i="2"/>
  <c r="E57" i="2"/>
  <c r="F57" i="2"/>
  <c r="N57" i="2"/>
  <c r="E58" i="2"/>
  <c r="N58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J60" i="2"/>
  <c r="F61" i="2"/>
  <c r="G61" i="2"/>
  <c r="N61" i="2"/>
  <c r="B62" i="2"/>
  <c r="C62" i="2"/>
  <c r="E62" i="2"/>
  <c r="M62" i="2"/>
  <c r="N62" i="2"/>
  <c r="C63" i="2"/>
  <c r="D63" i="2"/>
  <c r="F63" i="2"/>
  <c r="M63" i="2"/>
  <c r="N63" i="2"/>
  <c r="B64" i="2"/>
  <c r="C64" i="2"/>
  <c r="D64" i="2"/>
  <c r="E64" i="2"/>
  <c r="G64" i="2"/>
  <c r="C65" i="2"/>
  <c r="D65" i="2"/>
  <c r="E65" i="2"/>
  <c r="F65" i="2"/>
  <c r="G65" i="2"/>
  <c r="N65" i="2"/>
  <c r="D66" i="2"/>
  <c r="N66" i="2"/>
  <c r="B67" i="2"/>
  <c r="C67" i="2"/>
  <c r="D67" i="2"/>
  <c r="E67" i="2"/>
  <c r="F67" i="2"/>
  <c r="G67" i="2"/>
  <c r="H67" i="2"/>
  <c r="I67" i="2"/>
  <c r="J67" i="2"/>
  <c r="K67" i="2"/>
  <c r="L67" i="2"/>
  <c r="M67" i="2"/>
  <c r="E68" i="2"/>
  <c r="F68" i="2"/>
  <c r="G68" i="2"/>
  <c r="H68" i="2"/>
  <c r="I68" i="2"/>
  <c r="J68" i="2"/>
  <c r="K68" i="2"/>
  <c r="L68" i="2"/>
  <c r="M68" i="2"/>
  <c r="G70" i="2"/>
  <c r="N70" i="2"/>
  <c r="B71" i="2"/>
  <c r="C71" i="2"/>
  <c r="D71" i="2"/>
  <c r="E71" i="2"/>
  <c r="F71" i="2"/>
  <c r="G71" i="2"/>
  <c r="H71" i="2"/>
  <c r="I71" i="2"/>
  <c r="J71" i="2"/>
  <c r="K71" i="2"/>
  <c r="L71" i="2"/>
  <c r="M71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J76" i="2"/>
  <c r="N76" i="2"/>
  <c r="M77" i="2"/>
  <c r="N77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E80" i="2"/>
  <c r="F80" i="2"/>
  <c r="G80" i="2"/>
  <c r="H80" i="2"/>
  <c r="I80" i="2"/>
  <c r="J80" i="2"/>
  <c r="K80" i="2"/>
  <c r="L80" i="2"/>
  <c r="M80" i="2"/>
  <c r="D29" i="4" l="1"/>
  <c r="B38" i="4"/>
  <c r="D50" i="4"/>
  <c r="B35" i="4"/>
  <c r="B39" i="4" s="1"/>
  <c r="B43" i="4" s="1"/>
  <c r="B50" i="4" s="1"/>
  <c r="D50" i="3"/>
  <c r="B68" i="3"/>
  <c r="C68" i="3"/>
  <c r="D68" i="3"/>
  <c r="B69" i="3"/>
  <c r="B81" i="3" s="1"/>
  <c r="C69" i="3"/>
  <c r="C81" i="3" s="1"/>
  <c r="N14" i="2"/>
  <c r="B18" i="2"/>
  <c r="C18" i="2"/>
  <c r="C49" i="2" s="1"/>
  <c r="C68" i="2" s="1"/>
  <c r="D18" i="2"/>
  <c r="N45" i="2"/>
  <c r="N60" i="2"/>
  <c r="N71" i="2"/>
  <c r="N21" i="2"/>
  <c r="B23" i="2"/>
  <c r="C23" i="2"/>
  <c r="C48" i="2" s="1"/>
  <c r="D23" i="2"/>
  <c r="D48" i="2" s="1"/>
  <c r="N46" i="2"/>
  <c r="N64" i="2"/>
  <c r="N67" i="2"/>
  <c r="D69" i="3" l="1"/>
  <c r="D81" i="3" s="1"/>
  <c r="N18" i="2"/>
  <c r="B48" i="2"/>
  <c r="N48" i="2" s="1"/>
  <c r="N23" i="2"/>
  <c r="D49" i="2"/>
  <c r="D68" i="2" s="1"/>
  <c r="D80" i="2" s="1"/>
  <c r="C80" i="2"/>
  <c r="B49" i="2" l="1"/>
  <c r="N49" i="2" l="1"/>
  <c r="B68" i="2"/>
  <c r="N68" i="2" l="1"/>
  <c r="B80" i="2"/>
  <c r="N80" i="2" s="1"/>
</calcChain>
</file>

<file path=xl/sharedStrings.xml><?xml version="1.0" encoding="utf-8"?>
<sst xmlns="http://schemas.openxmlformats.org/spreadsheetml/2006/main" count="253" uniqueCount="169">
  <si>
    <t>Jan 2026</t>
  </si>
  <si>
    <t>Feb 2026</t>
  </si>
  <si>
    <t>Mar 2026</t>
  </si>
  <si>
    <t>Total</t>
  </si>
  <si>
    <t>Income</t>
  </si>
  <si>
    <t xml:space="preserve">   Dues Swim &amp; Tennis</t>
  </si>
  <si>
    <t xml:space="preserve">   Dues Tennis Only</t>
  </si>
  <si>
    <t xml:space="preserve">   Swim Guest Fees</t>
  </si>
  <si>
    <t xml:space="preserve">   Swim Team Fees</t>
  </si>
  <si>
    <t xml:space="preserve">   Tennis Ball Machine Fees</t>
  </si>
  <si>
    <t xml:space="preserve">   Tennis Guest Fees</t>
  </si>
  <si>
    <t xml:space="preserve">   Waitlist Fees</t>
  </si>
  <si>
    <t>Total Income</t>
  </si>
  <si>
    <t>Cost of Goods Sold</t>
  </si>
  <si>
    <t xml:space="preserve">   Operating Costs - Facility/Grounds</t>
  </si>
  <si>
    <t xml:space="preserve">      Grounds Maintenance General</t>
  </si>
  <si>
    <t xml:space="preserve">      Landscaping</t>
  </si>
  <si>
    <t xml:space="preserve">   Total Operating Costs - Facility/Grounds</t>
  </si>
  <si>
    <t xml:space="preserve">   Operating Costs - Pool</t>
  </si>
  <si>
    <t xml:space="preserve">      Pool - Payroll - Pool Mgt &amp; Life Guards</t>
  </si>
  <si>
    <t xml:space="preserve">      Pool - Payroll Taxes Mgt &amp; Life Guards</t>
  </si>
  <si>
    <t xml:space="preserve">      Pool - Repairs and Maintenance</t>
  </si>
  <si>
    <t xml:space="preserve">   Total Operating Costs - Pool</t>
  </si>
  <si>
    <t xml:space="preserve">   Operating Costs - Swim Team</t>
  </si>
  <si>
    <t xml:space="preserve">      Swim Team - Swim Team Fees</t>
  </si>
  <si>
    <t xml:space="preserve">   Total Operating Costs - Swim Team</t>
  </si>
  <si>
    <t xml:space="preserve">   Operating Costs - Tennis</t>
  </si>
  <si>
    <t xml:space="preserve">      Tennis -  Management Fees</t>
  </si>
  <si>
    <t xml:space="preserve">      Tennis - Repairs and Maintenance</t>
  </si>
  <si>
    <t xml:space="preserve">      Tennis - Supplies</t>
  </si>
  <si>
    <t xml:space="preserve">      Tennis Tournament Fees</t>
  </si>
  <si>
    <t xml:space="preserve">   Total Operating Costs - Tennis</t>
  </si>
  <si>
    <t xml:space="preserve">   Operating Costs - Utilities</t>
  </si>
  <si>
    <t xml:space="preserve">      Electricity</t>
  </si>
  <si>
    <t xml:space="preserve">      Telephone and Internet</t>
  </si>
  <si>
    <t xml:space="preserve">      Water/Sewer/Gas</t>
  </si>
  <si>
    <t xml:space="preserve">   Total Operating Costs - Utilities</t>
  </si>
  <si>
    <t>Total Cost of Goods Sold</t>
  </si>
  <si>
    <t>Gross Profit</t>
  </si>
  <si>
    <t>Expenses</t>
  </si>
  <si>
    <t xml:space="preserve">   Bank Charges</t>
  </si>
  <si>
    <t xml:space="preserve">   Insurance</t>
  </si>
  <si>
    <t xml:space="preserve">   Legal &amp; Professional Fees</t>
  </si>
  <si>
    <t xml:space="preserve">   Other General and Admin Expenses</t>
  </si>
  <si>
    <t xml:space="preserve">   Repair &amp; Maintenance - General</t>
  </si>
  <si>
    <t xml:space="preserve">   Repair &amp; Maintenance - Grill</t>
  </si>
  <si>
    <t>Total Expenses</t>
  </si>
  <si>
    <t>Net Operating Income</t>
  </si>
  <si>
    <t>Other Expenses</t>
  </si>
  <si>
    <t xml:space="preserve">   Amortization</t>
  </si>
  <si>
    <t xml:space="preserve">   Depreciation</t>
  </si>
  <si>
    <t xml:space="preserve">   Interest Expense Mortgage</t>
  </si>
  <si>
    <t xml:space="preserve">   Pending Classification - ask Client</t>
  </si>
  <si>
    <t>Total Other Expenses</t>
  </si>
  <si>
    <t>Net Other Income</t>
  </si>
  <si>
    <t>Net Income</t>
  </si>
  <si>
    <t>Cardinal Swim and Tennis Club, LLC</t>
  </si>
  <si>
    <t>Profit and Loss</t>
  </si>
  <si>
    <t>January - March, 2026</t>
  </si>
  <si>
    <t xml:space="preserve">   Miscellaneous</t>
  </si>
  <si>
    <t>Total Other Income</t>
  </si>
  <si>
    <t xml:space="preserve">   Other Ordinary Income</t>
  </si>
  <si>
    <t>Other Income</t>
  </si>
  <si>
    <t xml:space="preserve">   Website Expenses</t>
  </si>
  <si>
    <t xml:space="preserve">   Supplies - General</t>
  </si>
  <si>
    <t xml:space="preserve">   Social Events</t>
  </si>
  <si>
    <t xml:space="preserve">   Property Taxes</t>
  </si>
  <si>
    <t xml:space="preserve">   Promotional</t>
  </si>
  <si>
    <t xml:space="preserve">   Office Expenses</t>
  </si>
  <si>
    <t xml:space="preserve">   Meals and Entertainment</t>
  </si>
  <si>
    <t xml:space="preserve">   Fundraiser Expense</t>
  </si>
  <si>
    <t xml:space="preserve">   Dues &amp; Subscriptions</t>
  </si>
  <si>
    <t xml:space="preserve">   Advertising</t>
  </si>
  <si>
    <t xml:space="preserve">   Supplies &amp; Materials - Pool and Tennis</t>
  </si>
  <si>
    <t xml:space="preserve">      Swim Team - Shirts, Caps, Other</t>
  </si>
  <si>
    <t xml:space="preserve">      Swim Team - Coaches Payroll</t>
  </si>
  <si>
    <t xml:space="preserve">      Swim Team - Coaches  Payroll Taxes</t>
  </si>
  <si>
    <t xml:space="preserve">      Pool - Chemicals &amp; Supplies</t>
  </si>
  <si>
    <t xml:space="preserve">   Social Event Revenue</t>
  </si>
  <si>
    <t xml:space="preserve">   Fundraiser Income</t>
  </si>
  <si>
    <t xml:space="preserve">   Corporate Sponsorships</t>
  </si>
  <si>
    <t xml:space="preserve">   Club Rental</t>
  </si>
  <si>
    <t>Dec 2025</t>
  </si>
  <si>
    <t>Nov 2025</t>
  </si>
  <si>
    <t>Oct 2025</t>
  </si>
  <si>
    <t>Sep 2025</t>
  </si>
  <si>
    <t>Aug 2025</t>
  </si>
  <si>
    <t>Jul 2025</t>
  </si>
  <si>
    <t>Jun 2025</t>
  </si>
  <si>
    <t>May 2025</t>
  </si>
  <si>
    <t>Apr 2025</t>
  </si>
  <si>
    <t>April 2025 - March 2026</t>
  </si>
  <si>
    <t>Jan - Dec 2025 (PP)</t>
  </si>
  <si>
    <t>Jan - Mar, 2025 (PY)</t>
  </si>
  <si>
    <t>Jan - Mar, 2026</t>
  </si>
  <si>
    <t>TOTAL LIABILITIES AND EQUITY</t>
  </si>
  <si>
    <t xml:space="preserve">   Total Equity</t>
  </si>
  <si>
    <t xml:space="preserve">      Net Income</t>
  </si>
  <si>
    <t xml:space="preserve">      Retained Earnings</t>
  </si>
  <si>
    <t xml:space="preserve">      Preferred Unit</t>
  </si>
  <si>
    <t xml:space="preserve">      Common Unit</t>
  </si>
  <si>
    <t xml:space="preserve">   Equity</t>
  </si>
  <si>
    <t xml:space="preserve">   Total Liabilities</t>
  </si>
  <si>
    <t xml:space="preserve">      Total Long-Term Liabilities</t>
  </si>
  <si>
    <t xml:space="preserve">         Long term Loan - Pinnacle</t>
  </si>
  <si>
    <t xml:space="preserve">      Long-Term Liabilities</t>
  </si>
  <si>
    <t xml:space="preserve">      Total Current Liabilities</t>
  </si>
  <si>
    <t xml:space="preserve">         Total Credit Cards</t>
  </si>
  <si>
    <t xml:space="preserve">            Truist Visa 8777 / 3537</t>
  </si>
  <si>
    <t xml:space="preserve">         Credit Cards</t>
  </si>
  <si>
    <t xml:space="preserve">         Total Accounts Payable</t>
  </si>
  <si>
    <t xml:space="preserve">            Accounts Payable (A/P)</t>
  </si>
  <si>
    <t xml:space="preserve">         Accounts Payable</t>
  </si>
  <si>
    <t xml:space="preserve">      Current Liabilities</t>
  </si>
  <si>
    <t xml:space="preserve">   Liabilities</t>
  </si>
  <si>
    <t>LIABILITIES AND EQUITY</t>
  </si>
  <si>
    <t>TOTAL ASSETS</t>
  </si>
  <si>
    <t xml:space="preserve">   Total Fixed Assets</t>
  </si>
  <si>
    <t xml:space="preserve">      Tennis Start Up Costs</t>
  </si>
  <si>
    <t xml:space="preserve">      Tennis Courts - Equipment</t>
  </si>
  <si>
    <t xml:space="preserve">      Other Leasehold - Equipment</t>
  </si>
  <si>
    <t xml:space="preserve">      Other Equipment</t>
  </si>
  <si>
    <t xml:space="preserve">      Organizational Costs</t>
  </si>
  <si>
    <t xml:space="preserve">      Land and Building</t>
  </si>
  <si>
    <t xml:space="preserve">   Fixed Assets</t>
  </si>
  <si>
    <t xml:space="preserve">   Total Current Assets</t>
  </si>
  <si>
    <t xml:space="preserve">      Total Other Current Assets</t>
  </si>
  <si>
    <t xml:space="preserve">         Utility Deposits</t>
  </si>
  <si>
    <t xml:space="preserve">         Prepaid Expenses</t>
  </si>
  <si>
    <t xml:space="preserve">      Other Current Assets</t>
  </si>
  <si>
    <t xml:space="preserve">      Total Accounts Receivable</t>
  </si>
  <si>
    <t xml:space="preserve">         Accounts Receivable</t>
  </si>
  <si>
    <t xml:space="preserve">      Accounts Receivable</t>
  </si>
  <si>
    <t xml:space="preserve">      Total Bank Accounts</t>
  </si>
  <si>
    <t xml:space="preserve">         Truist Checking</t>
  </si>
  <si>
    <t xml:space="preserve">         Pinnacle Checking</t>
  </si>
  <si>
    <t xml:space="preserve">      Bank Accounts</t>
  </si>
  <si>
    <t xml:space="preserve">   Current Assets</t>
  </si>
  <si>
    <t>ASSETS</t>
  </si>
  <si>
    <t>As of Dec 31, 2025 (PP)</t>
  </si>
  <si>
    <t>As of Mar 31, 2025 (PY)</t>
  </si>
  <si>
    <t>As of Mar 31, 2026</t>
  </si>
  <si>
    <t>As of March 31, 2026</t>
  </si>
  <si>
    <t>Balance Sheet</t>
  </si>
  <si>
    <t>Cash at end of period</t>
  </si>
  <si>
    <t>Cash at beginning of period</t>
  </si>
  <si>
    <t>Net cash increase for period</t>
  </si>
  <si>
    <t>Net cash provided by financing activities</t>
  </si>
  <si>
    <t xml:space="preserve">   Common Unit</t>
  </si>
  <si>
    <t xml:space="preserve">   Long term Loan - Pinnacle</t>
  </si>
  <si>
    <t>FINANCING ACTIVITIES</t>
  </si>
  <si>
    <t>Net cash provided by investing activities</t>
  </si>
  <si>
    <t xml:space="preserve">   Organizational Costs:Amortization</t>
  </si>
  <si>
    <t xml:space="preserve">   Land and Building:Tennis Courts - Building</t>
  </si>
  <si>
    <t>INVESTING ACTIVITIES</t>
  </si>
  <si>
    <t>Net cash provided by operating activities</t>
  </si>
  <si>
    <t xml:space="preserve">   Total Adjustments to reconcile Net Income to Net Cash provided by operations:</t>
  </si>
  <si>
    <t xml:space="preserve">      Truist Visa 8777 / 3537</t>
  </si>
  <si>
    <t xml:space="preserve">      Accounts Payable (A/P)</t>
  </si>
  <si>
    <t xml:space="preserve">      Tennis Start Up Costs:Amortization</t>
  </si>
  <si>
    <t xml:space="preserve">      Tennis Courts - Equipment:Depreciation</t>
  </si>
  <si>
    <t xml:space="preserve">      Other Leasehold - Equipment:Depreciation</t>
  </si>
  <si>
    <t xml:space="preserve">      Other Equipment:Depreciation</t>
  </si>
  <si>
    <t xml:space="preserve">      Land and Building:Pool Cabana - Building:Depreciation</t>
  </si>
  <si>
    <t xml:space="preserve">      Land and Building:Land Improvements:Depreciation</t>
  </si>
  <si>
    <t xml:space="preserve">   Adjustments to reconcile Net Income to Net Cash provided by operations:</t>
  </si>
  <si>
    <t xml:space="preserve">   Net Income</t>
  </si>
  <si>
    <t>OPERATING ACTIVITIES</t>
  </si>
  <si>
    <t>Statement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</si>
</sst>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* @_)"/>
  </numFmts>
  <fonts count="6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39" fontId="3" fillId="0" borderId="0" xfId="0" applyNumberFormat="1" applyFont="1" applyAlignment="1">
      <alignment wrapText="1"/>
    </xf>
    <xf numFmtId="39" fontId="3" fillId="0" borderId="0" xfId="0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EB31-65D8-436B-9869-00D66A6FD5D0}">
  <dimension ref="A1:D85"/>
  <sheetViews>
    <sheetView topLeftCell="A56" workbookViewId="0">
      <selection activeCell="H89" sqref="H89"/>
    </sheetView>
  </sheetViews>
  <sheetFormatPr defaultRowHeight="14.4" x14ac:dyDescent="0.3"/>
  <cols>
    <col min="1" max="1" width="39.5546875" customWidth="1"/>
    <col min="2" max="4" width="15.44140625" customWidth="1"/>
  </cols>
  <sheetData>
    <row r="1" spans="1:4" ht="17.399999999999999" x14ac:dyDescent="0.3">
      <c r="A1" s="9" t="s">
        <v>56</v>
      </c>
      <c r="B1" s="8"/>
      <c r="C1" s="8"/>
      <c r="D1" s="8"/>
    </row>
    <row r="2" spans="1:4" ht="17.399999999999999" x14ac:dyDescent="0.3">
      <c r="A2" s="9" t="s">
        <v>57</v>
      </c>
      <c r="B2" s="8"/>
      <c r="C2" s="8"/>
      <c r="D2" s="8"/>
    </row>
    <row r="3" spans="1:4" x14ac:dyDescent="0.3">
      <c r="A3" s="10" t="s">
        <v>58</v>
      </c>
      <c r="B3" s="8"/>
      <c r="C3" s="8"/>
      <c r="D3" s="8"/>
    </row>
    <row r="5" spans="1:4" x14ac:dyDescent="0.3">
      <c r="A5" s="1"/>
      <c r="B5" s="12" t="s">
        <v>3</v>
      </c>
      <c r="C5" s="11"/>
      <c r="D5" s="11"/>
    </row>
    <row r="6" spans="1:4" ht="24.6" x14ac:dyDescent="0.3">
      <c r="A6" s="1"/>
      <c r="B6" s="2" t="s">
        <v>94</v>
      </c>
      <c r="C6" s="2" t="s">
        <v>93</v>
      </c>
      <c r="D6" s="2" t="s">
        <v>92</v>
      </c>
    </row>
    <row r="7" spans="1:4" x14ac:dyDescent="0.3">
      <c r="A7" s="3" t="s">
        <v>4</v>
      </c>
      <c r="B7" s="4"/>
      <c r="C7" s="4"/>
      <c r="D7" s="4"/>
    </row>
    <row r="8" spans="1:4" x14ac:dyDescent="0.3">
      <c r="A8" s="3" t="s">
        <v>81</v>
      </c>
      <c r="B8" s="4"/>
      <c r="C8" s="4"/>
      <c r="D8" s="5">
        <f>2640</f>
        <v>2640</v>
      </c>
    </row>
    <row r="9" spans="1:4" x14ac:dyDescent="0.3">
      <c r="A9" s="3" t="s">
        <v>80</v>
      </c>
      <c r="B9" s="4"/>
      <c r="C9" s="5">
        <f>2200</f>
        <v>2200</v>
      </c>
      <c r="D9" s="5">
        <f>5650</f>
        <v>5650</v>
      </c>
    </row>
    <row r="10" spans="1:4" x14ac:dyDescent="0.3">
      <c r="A10" s="3" t="s">
        <v>5</v>
      </c>
      <c r="B10" s="5">
        <f>302510.02</f>
        <v>302510.02</v>
      </c>
      <c r="C10" s="5">
        <f>300812.5</f>
        <v>300812.5</v>
      </c>
      <c r="D10" s="5">
        <f>321323.11</f>
        <v>321323.11</v>
      </c>
    </row>
    <row r="11" spans="1:4" x14ac:dyDescent="0.3">
      <c r="A11" s="3" t="s">
        <v>6</v>
      </c>
      <c r="B11" s="5">
        <f>36225</f>
        <v>36225</v>
      </c>
      <c r="C11" s="5">
        <f>27990</f>
        <v>27990</v>
      </c>
      <c r="D11" s="5">
        <f>28400.25</f>
        <v>28400.25</v>
      </c>
    </row>
    <row r="12" spans="1:4" x14ac:dyDescent="0.3">
      <c r="A12" s="3" t="s">
        <v>79</v>
      </c>
      <c r="B12" s="4"/>
      <c r="C12" s="4"/>
      <c r="D12" s="5">
        <f>297.18</f>
        <v>297.18</v>
      </c>
    </row>
    <row r="13" spans="1:4" x14ac:dyDescent="0.3">
      <c r="A13" s="3" t="s">
        <v>78</v>
      </c>
      <c r="B13" s="4"/>
      <c r="C13" s="4"/>
      <c r="D13" s="5">
        <f>268.07</f>
        <v>268.07</v>
      </c>
    </row>
    <row r="14" spans="1:4" x14ac:dyDescent="0.3">
      <c r="A14" s="3" t="s">
        <v>7</v>
      </c>
      <c r="B14" s="5">
        <f>165</f>
        <v>165</v>
      </c>
      <c r="C14" s="5">
        <f>450</f>
        <v>450</v>
      </c>
      <c r="D14" s="5">
        <f>10043</f>
        <v>10043</v>
      </c>
    </row>
    <row r="15" spans="1:4" x14ac:dyDescent="0.3">
      <c r="A15" s="3" t="s">
        <v>8</v>
      </c>
      <c r="B15" s="5">
        <f>3689</f>
        <v>3689</v>
      </c>
      <c r="C15" s="5">
        <f>6951</f>
        <v>6951</v>
      </c>
      <c r="D15" s="5">
        <f>17396</f>
        <v>17396</v>
      </c>
    </row>
    <row r="16" spans="1:4" x14ac:dyDescent="0.3">
      <c r="A16" s="3" t="s">
        <v>9</v>
      </c>
      <c r="B16" s="5">
        <f>60</f>
        <v>60</v>
      </c>
      <c r="C16" s="5">
        <f>90</f>
        <v>90</v>
      </c>
      <c r="D16" s="5">
        <f>630</f>
        <v>630</v>
      </c>
    </row>
    <row r="17" spans="1:4" x14ac:dyDescent="0.3">
      <c r="A17" s="3" t="s">
        <v>10</v>
      </c>
      <c r="B17" s="5">
        <f>78</f>
        <v>78</v>
      </c>
      <c r="C17" s="5">
        <f>201.5</f>
        <v>201.5</v>
      </c>
      <c r="D17" s="5">
        <f>2690.5</f>
        <v>2690.5</v>
      </c>
    </row>
    <row r="18" spans="1:4" x14ac:dyDescent="0.3">
      <c r="A18" s="3" t="s">
        <v>11</v>
      </c>
      <c r="B18" s="5">
        <f>50</f>
        <v>50</v>
      </c>
      <c r="C18" s="4"/>
      <c r="D18" s="5">
        <f>50</f>
        <v>50</v>
      </c>
    </row>
    <row r="19" spans="1:4" x14ac:dyDescent="0.3">
      <c r="A19" s="3" t="s">
        <v>12</v>
      </c>
      <c r="B19" s="6">
        <f>((((((((((B8)+(B9))+(B10))+(B11))+(B12))+(B13))+(B14))+(B15))+(B16))+(B17))+(B18)</f>
        <v>342777.02</v>
      </c>
      <c r="C19" s="6">
        <f>((((((((((C8)+(C9))+(C10))+(C11))+(C12))+(C13))+(C14))+(C15))+(C16))+(C17))+(C18)</f>
        <v>338695</v>
      </c>
      <c r="D19" s="6">
        <f>((((((((((D8)+(D9))+(D10))+(D11))+(D12))+(D13))+(D14))+(D15))+(D16))+(D17))+(D18)</f>
        <v>389388.11</v>
      </c>
    </row>
    <row r="20" spans="1:4" x14ac:dyDescent="0.3">
      <c r="A20" s="3" t="s">
        <v>13</v>
      </c>
      <c r="B20" s="4"/>
      <c r="C20" s="4"/>
      <c r="D20" s="4"/>
    </row>
    <row r="21" spans="1:4" x14ac:dyDescent="0.3">
      <c r="A21" s="3" t="s">
        <v>14</v>
      </c>
      <c r="B21" s="4"/>
      <c r="C21" s="4"/>
      <c r="D21" s="4"/>
    </row>
    <row r="22" spans="1:4" x14ac:dyDescent="0.3">
      <c r="A22" s="3" t="s">
        <v>15</v>
      </c>
      <c r="B22" s="5">
        <f>8320.62</f>
        <v>8320.6200000000008</v>
      </c>
      <c r="C22" s="5">
        <f>1543.32</f>
        <v>1543.32</v>
      </c>
      <c r="D22" s="5">
        <f>21901.2</f>
        <v>21901.200000000001</v>
      </c>
    </row>
    <row r="23" spans="1:4" x14ac:dyDescent="0.3">
      <c r="A23" s="3" t="s">
        <v>16</v>
      </c>
      <c r="B23" s="5">
        <f>4070</f>
        <v>4070</v>
      </c>
      <c r="C23" s="5">
        <f>7440</f>
        <v>7440</v>
      </c>
      <c r="D23" s="5">
        <f>22221</f>
        <v>22221</v>
      </c>
    </row>
    <row r="24" spans="1:4" x14ac:dyDescent="0.3">
      <c r="A24" s="3" t="s">
        <v>17</v>
      </c>
      <c r="B24" s="6">
        <f>((B21)+(B22))+(B23)</f>
        <v>12390.62</v>
      </c>
      <c r="C24" s="6">
        <f>((C21)+(C22))+(C23)</f>
        <v>8983.32</v>
      </c>
      <c r="D24" s="6">
        <f>((D21)+(D22))+(D23)</f>
        <v>44122.2</v>
      </c>
    </row>
    <row r="25" spans="1:4" x14ac:dyDescent="0.3">
      <c r="A25" s="3" t="s">
        <v>18</v>
      </c>
      <c r="B25" s="4"/>
      <c r="C25" s="4"/>
      <c r="D25" s="4"/>
    </row>
    <row r="26" spans="1:4" x14ac:dyDescent="0.3">
      <c r="A26" s="3" t="s">
        <v>77</v>
      </c>
      <c r="B26" s="4"/>
      <c r="C26" s="4"/>
      <c r="D26" s="5">
        <f>7643.91</f>
        <v>7643.91</v>
      </c>
    </row>
    <row r="27" spans="1:4" x14ac:dyDescent="0.3">
      <c r="A27" s="3" t="s">
        <v>19</v>
      </c>
      <c r="B27" s="5">
        <f>5000.01</f>
        <v>5000.01</v>
      </c>
      <c r="C27" s="5">
        <f>3750</f>
        <v>3750</v>
      </c>
      <c r="D27" s="5">
        <f>72350.92</f>
        <v>72350.92</v>
      </c>
    </row>
    <row r="28" spans="1:4" x14ac:dyDescent="0.3">
      <c r="A28" s="3" t="s">
        <v>20</v>
      </c>
      <c r="B28" s="5">
        <f>570.62</f>
        <v>570.62</v>
      </c>
      <c r="C28" s="5">
        <f>481.12</f>
        <v>481.12</v>
      </c>
      <c r="D28" s="5">
        <f>7976.86</f>
        <v>7976.86</v>
      </c>
    </row>
    <row r="29" spans="1:4" x14ac:dyDescent="0.3">
      <c r="A29" s="3" t="s">
        <v>21</v>
      </c>
      <c r="B29" s="5">
        <f>37357</f>
        <v>37357</v>
      </c>
      <c r="C29" s="5">
        <f>-3024</f>
        <v>-3024</v>
      </c>
      <c r="D29" s="5">
        <f>26630.87</f>
        <v>26630.87</v>
      </c>
    </row>
    <row r="30" spans="1:4" x14ac:dyDescent="0.3">
      <c r="A30" s="3" t="s">
        <v>22</v>
      </c>
      <c r="B30" s="6">
        <f>((((B25)+(B26))+(B27))+(B28))+(B29)</f>
        <v>42927.63</v>
      </c>
      <c r="C30" s="6">
        <f>((((C25)+(C26))+(C27))+(C28))+(C29)</f>
        <v>1207.1199999999999</v>
      </c>
      <c r="D30" s="6">
        <f>((((D25)+(D26))+(D27))+(D28))+(D29)</f>
        <v>114602.56</v>
      </c>
    </row>
    <row r="31" spans="1:4" x14ac:dyDescent="0.3">
      <c r="A31" s="3" t="s">
        <v>23</v>
      </c>
      <c r="B31" s="4"/>
      <c r="C31" s="4"/>
      <c r="D31" s="4"/>
    </row>
    <row r="32" spans="1:4" x14ac:dyDescent="0.3">
      <c r="A32" s="3" t="s">
        <v>76</v>
      </c>
      <c r="B32" s="5"/>
      <c r="C32" s="5">
        <f>0</f>
        <v>0</v>
      </c>
      <c r="D32" s="5">
        <f>1038.63</f>
        <v>1038.6300000000001</v>
      </c>
    </row>
    <row r="33" spans="1:4" x14ac:dyDescent="0.3">
      <c r="A33" s="3" t="s">
        <v>75</v>
      </c>
      <c r="B33" s="5">
        <f>0</f>
        <v>0</v>
      </c>
      <c r="C33" s="5">
        <f>0</f>
        <v>0</v>
      </c>
      <c r="D33" s="5">
        <f>11463.75</f>
        <v>11463.75</v>
      </c>
    </row>
    <row r="34" spans="1:4" x14ac:dyDescent="0.3">
      <c r="A34" s="3" t="s">
        <v>74</v>
      </c>
      <c r="B34" s="4"/>
      <c r="C34" s="5">
        <f>1117.61</f>
        <v>1117.6099999999999</v>
      </c>
      <c r="D34" s="5">
        <f>7610.06</f>
        <v>7610.06</v>
      </c>
    </row>
    <row r="35" spans="1:4" x14ac:dyDescent="0.3">
      <c r="A35" s="3" t="s">
        <v>24</v>
      </c>
      <c r="B35" s="5">
        <f>-58.18</f>
        <v>-58.18</v>
      </c>
      <c r="C35" s="4"/>
      <c r="D35" s="5">
        <f>2455</f>
        <v>2455</v>
      </c>
    </row>
    <row r="36" spans="1:4" x14ac:dyDescent="0.3">
      <c r="A36" s="3" t="s">
        <v>25</v>
      </c>
      <c r="B36" s="6">
        <f>((((B31)+(B32))+(B33))+(B34))+(B35)</f>
        <v>-58.18</v>
      </c>
      <c r="C36" s="6">
        <f>((((C31)+(C32))+(C33))+(C34))+(C35)</f>
        <v>1117.6099999999999</v>
      </c>
      <c r="D36" s="6">
        <f>((((D31)+(D32))+(D33))+(D34))+(D35)</f>
        <v>22567.440000000002</v>
      </c>
    </row>
    <row r="37" spans="1:4" x14ac:dyDescent="0.3">
      <c r="A37" s="3" t="s">
        <v>26</v>
      </c>
      <c r="B37" s="4"/>
      <c r="C37" s="4"/>
      <c r="D37" s="4"/>
    </row>
    <row r="38" spans="1:4" x14ac:dyDescent="0.3">
      <c r="A38" s="3" t="s">
        <v>27</v>
      </c>
      <c r="B38" s="5">
        <f>18075</f>
        <v>18075</v>
      </c>
      <c r="C38" s="5">
        <f>15600</f>
        <v>15600</v>
      </c>
      <c r="D38" s="5">
        <f>72300</f>
        <v>72300</v>
      </c>
    </row>
    <row r="39" spans="1:4" x14ac:dyDescent="0.3">
      <c r="A39" s="3" t="s">
        <v>28</v>
      </c>
      <c r="B39" s="5">
        <f>9248</f>
        <v>9248</v>
      </c>
      <c r="C39" s="5">
        <f>6029.32</f>
        <v>6029.32</v>
      </c>
      <c r="D39" s="5">
        <f>18788.38</f>
        <v>18788.38</v>
      </c>
    </row>
    <row r="40" spans="1:4" x14ac:dyDescent="0.3">
      <c r="A40" s="3" t="s">
        <v>29</v>
      </c>
      <c r="B40" s="5">
        <f>30.43</f>
        <v>30.43</v>
      </c>
      <c r="C40" s="5">
        <f>235.89</f>
        <v>235.89</v>
      </c>
      <c r="D40" s="5">
        <f>1182.42</f>
        <v>1182.42</v>
      </c>
    </row>
    <row r="41" spans="1:4" x14ac:dyDescent="0.3">
      <c r="A41" s="3" t="s">
        <v>30</v>
      </c>
      <c r="B41" s="5">
        <f>350</f>
        <v>350</v>
      </c>
      <c r="C41" s="4"/>
      <c r="D41" s="5">
        <f>200</f>
        <v>200</v>
      </c>
    </row>
    <row r="42" spans="1:4" x14ac:dyDescent="0.3">
      <c r="A42" s="3" t="s">
        <v>31</v>
      </c>
      <c r="B42" s="6">
        <f>((((B37)+(B38))+(B39))+(B40))+(B41)</f>
        <v>27703.43</v>
      </c>
      <c r="C42" s="6">
        <f>((((C37)+(C38))+(C39))+(C40))+(C41)</f>
        <v>21865.21</v>
      </c>
      <c r="D42" s="6">
        <f>((((D37)+(D38))+(D39))+(D40))+(D41)</f>
        <v>92470.8</v>
      </c>
    </row>
    <row r="43" spans="1:4" x14ac:dyDescent="0.3">
      <c r="A43" s="3" t="s">
        <v>32</v>
      </c>
      <c r="B43" s="4"/>
      <c r="C43" s="4"/>
      <c r="D43" s="4"/>
    </row>
    <row r="44" spans="1:4" x14ac:dyDescent="0.3">
      <c r="A44" s="3" t="s">
        <v>33</v>
      </c>
      <c r="B44" s="5">
        <f>2968.42</f>
        <v>2968.42</v>
      </c>
      <c r="C44" s="5">
        <f>3207.75</f>
        <v>3207.75</v>
      </c>
      <c r="D44" s="5">
        <f>15063.68</f>
        <v>15063.68</v>
      </c>
    </row>
    <row r="45" spans="1:4" x14ac:dyDescent="0.3">
      <c r="A45" s="3" t="s">
        <v>34</v>
      </c>
      <c r="B45" s="5">
        <f>732.99</f>
        <v>732.99</v>
      </c>
      <c r="C45" s="5">
        <f>732.99</f>
        <v>732.99</v>
      </c>
      <c r="D45" s="5">
        <f>2931.96</f>
        <v>2931.96</v>
      </c>
    </row>
    <row r="46" spans="1:4" x14ac:dyDescent="0.3">
      <c r="A46" s="3" t="s">
        <v>35</v>
      </c>
      <c r="B46" s="5">
        <f>1459.9</f>
        <v>1459.9</v>
      </c>
      <c r="C46" s="5">
        <f>1515.73</f>
        <v>1515.73</v>
      </c>
      <c r="D46" s="5">
        <f>10241.73</f>
        <v>10241.73</v>
      </c>
    </row>
    <row r="47" spans="1:4" x14ac:dyDescent="0.3">
      <c r="A47" s="3" t="s">
        <v>36</v>
      </c>
      <c r="B47" s="6">
        <f>(((B43)+(B44))+(B45))+(B46)</f>
        <v>5161.3099999999995</v>
      </c>
      <c r="C47" s="6">
        <f>(((C43)+(C44))+(C45))+(C46)</f>
        <v>5456.4699999999993</v>
      </c>
      <c r="D47" s="6">
        <f>(((D43)+(D44))+(D45))+(D46)</f>
        <v>28237.37</v>
      </c>
    </row>
    <row r="48" spans="1:4" x14ac:dyDescent="0.3">
      <c r="A48" s="3" t="s">
        <v>73</v>
      </c>
      <c r="B48" s="4"/>
      <c r="C48" s="4"/>
      <c r="D48" s="5">
        <f>1558.01</f>
        <v>1558.01</v>
      </c>
    </row>
    <row r="49" spans="1:4" x14ac:dyDescent="0.3">
      <c r="A49" s="3" t="s">
        <v>37</v>
      </c>
      <c r="B49" s="6">
        <f>(((((B24)+(B30))+(B36))+(B42))+(B47))+(B48)</f>
        <v>88124.81</v>
      </c>
      <c r="C49" s="6">
        <f>(((((C24)+(C30))+(C36))+(C42))+(C47))+(C48)</f>
        <v>38629.729999999996</v>
      </c>
      <c r="D49" s="6">
        <f>(((((D24)+(D30))+(D36))+(D42))+(D47))+(D48)</f>
        <v>303558.38</v>
      </c>
    </row>
    <row r="50" spans="1:4" x14ac:dyDescent="0.3">
      <c r="A50" s="3" t="s">
        <v>38</v>
      </c>
      <c r="B50" s="6">
        <f>(B19)-(B49)</f>
        <v>254652.21000000002</v>
      </c>
      <c r="C50" s="6">
        <f>(C19)-(C49)</f>
        <v>300065.27</v>
      </c>
      <c r="D50" s="6">
        <f>(D19)-(D49)</f>
        <v>85829.729999999981</v>
      </c>
    </row>
    <row r="51" spans="1:4" x14ac:dyDescent="0.3">
      <c r="A51" s="3" t="s">
        <v>39</v>
      </c>
      <c r="B51" s="4"/>
      <c r="C51" s="4"/>
      <c r="D51" s="4"/>
    </row>
    <row r="52" spans="1:4" x14ac:dyDescent="0.3">
      <c r="A52" s="3" t="s">
        <v>72</v>
      </c>
      <c r="B52" s="4"/>
      <c r="C52" s="4"/>
      <c r="D52" s="5">
        <f>700</f>
        <v>700</v>
      </c>
    </row>
    <row r="53" spans="1:4" x14ac:dyDescent="0.3">
      <c r="A53" s="3" t="s">
        <v>40</v>
      </c>
      <c r="B53" s="5">
        <f>1461.22</f>
        <v>1461.22</v>
      </c>
      <c r="C53" s="5">
        <f>1902.94</f>
        <v>1902.94</v>
      </c>
      <c r="D53" s="5">
        <f>4709.4</f>
        <v>4709.3999999999996</v>
      </c>
    </row>
    <row r="54" spans="1:4" x14ac:dyDescent="0.3">
      <c r="A54" s="3" t="s">
        <v>71</v>
      </c>
      <c r="B54" s="4"/>
      <c r="C54" s="5">
        <f>51</f>
        <v>51</v>
      </c>
      <c r="D54" s="5">
        <f>212.39</f>
        <v>212.39</v>
      </c>
    </row>
    <row r="55" spans="1:4" x14ac:dyDescent="0.3">
      <c r="A55" s="3" t="s">
        <v>70</v>
      </c>
      <c r="B55" s="4"/>
      <c r="C55" s="4"/>
      <c r="D55" s="5">
        <f>93.44</f>
        <v>93.44</v>
      </c>
    </row>
    <row r="56" spans="1:4" x14ac:dyDescent="0.3">
      <c r="A56" s="3" t="s">
        <v>41</v>
      </c>
      <c r="B56" s="5">
        <f>15710</f>
        <v>15710</v>
      </c>
      <c r="C56" s="5">
        <f>15709</f>
        <v>15709</v>
      </c>
      <c r="D56" s="5">
        <f>20889</f>
        <v>20889</v>
      </c>
    </row>
    <row r="57" spans="1:4" x14ac:dyDescent="0.3">
      <c r="A57" s="3" t="s">
        <v>42</v>
      </c>
      <c r="B57" s="5">
        <f>4568</f>
        <v>4568</v>
      </c>
      <c r="C57" s="5">
        <f>2230</f>
        <v>2230</v>
      </c>
      <c r="D57" s="5">
        <f>10023</f>
        <v>10023</v>
      </c>
    </row>
    <row r="58" spans="1:4" x14ac:dyDescent="0.3">
      <c r="A58" s="3" t="s">
        <v>69</v>
      </c>
      <c r="B58" s="4"/>
      <c r="C58" s="4"/>
      <c r="D58" s="5">
        <f>738.9</f>
        <v>738.9</v>
      </c>
    </row>
    <row r="59" spans="1:4" x14ac:dyDescent="0.3">
      <c r="A59" s="3" t="s">
        <v>68</v>
      </c>
      <c r="B59" s="4"/>
      <c r="C59" s="5">
        <f>306.18</f>
        <v>306.18</v>
      </c>
      <c r="D59" s="5">
        <f>328.6</f>
        <v>328.6</v>
      </c>
    </row>
    <row r="60" spans="1:4" x14ac:dyDescent="0.3">
      <c r="A60" s="3" t="s">
        <v>43</v>
      </c>
      <c r="B60" s="5">
        <f>1245.67</f>
        <v>1245.67</v>
      </c>
      <c r="C60" s="5">
        <f>354.89</f>
        <v>354.89</v>
      </c>
      <c r="D60" s="5">
        <f>1971.52</f>
        <v>1971.52</v>
      </c>
    </row>
    <row r="61" spans="1:4" x14ac:dyDescent="0.3">
      <c r="A61" s="3" t="s">
        <v>67</v>
      </c>
      <c r="B61" s="4"/>
      <c r="C61" s="5">
        <f>50</f>
        <v>50</v>
      </c>
      <c r="D61" s="5">
        <f>600</f>
        <v>600</v>
      </c>
    </row>
    <row r="62" spans="1:4" x14ac:dyDescent="0.3">
      <c r="A62" s="3" t="s">
        <v>66</v>
      </c>
      <c r="B62" s="4"/>
      <c r="C62" s="4"/>
      <c r="D62" s="5">
        <f>11586.76</f>
        <v>11586.76</v>
      </c>
    </row>
    <row r="63" spans="1:4" x14ac:dyDescent="0.3">
      <c r="A63" s="3" t="s">
        <v>44</v>
      </c>
      <c r="B63" s="5">
        <f>425</f>
        <v>425</v>
      </c>
      <c r="C63" s="5">
        <f>827.5</f>
        <v>827.5</v>
      </c>
      <c r="D63" s="5">
        <f>1461.58</f>
        <v>1461.58</v>
      </c>
    </row>
    <row r="64" spans="1:4" x14ac:dyDescent="0.3">
      <c r="A64" s="3" t="s">
        <v>45</v>
      </c>
      <c r="B64" s="5">
        <f>854</f>
        <v>854</v>
      </c>
      <c r="C64" s="4"/>
      <c r="D64" s="5">
        <f>4502.12</f>
        <v>4502.12</v>
      </c>
    </row>
    <row r="65" spans="1:4" x14ac:dyDescent="0.3">
      <c r="A65" s="3" t="s">
        <v>65</v>
      </c>
      <c r="B65" s="4"/>
      <c r="C65" s="4"/>
      <c r="D65" s="5">
        <f>2308.38</f>
        <v>2308.38</v>
      </c>
    </row>
    <row r="66" spans="1:4" x14ac:dyDescent="0.3">
      <c r="A66" s="3" t="s">
        <v>64</v>
      </c>
      <c r="B66" s="4"/>
      <c r="C66" s="4"/>
      <c r="D66" s="5">
        <f>1592.42</f>
        <v>1592.42</v>
      </c>
    </row>
    <row r="67" spans="1:4" x14ac:dyDescent="0.3">
      <c r="A67" s="3" t="s">
        <v>63</v>
      </c>
      <c r="B67" s="4"/>
      <c r="C67" s="4"/>
      <c r="D67" s="5">
        <f>1750</f>
        <v>1750</v>
      </c>
    </row>
    <row r="68" spans="1:4" x14ac:dyDescent="0.3">
      <c r="A68" s="3" t="s">
        <v>46</v>
      </c>
      <c r="B68" s="6">
        <f>(((((((((((((((B52)+(B53))+(B54))+(B55))+(B56))+(B57))+(B58))+(B59))+(B60))+(B61))+(B62))+(B63))+(B64))+(B65))+(B66))+(B67)</f>
        <v>24263.89</v>
      </c>
      <c r="C68" s="6">
        <f>(((((((((((((((C52)+(C53))+(C54))+(C55))+(C56))+(C57))+(C58))+(C59))+(C60))+(C61))+(C62))+(C63))+(C64))+(C65))+(C66))+(C67)</f>
        <v>21431.51</v>
      </c>
      <c r="D68" s="6">
        <f>(((((((((((((((D52)+(D53))+(D54))+(D55))+(D56))+(D57))+(D58))+(D59))+(D60))+(D61))+(D62))+(D63))+(D64))+(D65))+(D66))+(D67)</f>
        <v>63467.509999999995</v>
      </c>
    </row>
    <row r="69" spans="1:4" x14ac:dyDescent="0.3">
      <c r="A69" s="3" t="s">
        <v>47</v>
      </c>
      <c r="B69" s="6">
        <f>(B50)-(B68)</f>
        <v>230388.32</v>
      </c>
      <c r="C69" s="6">
        <f>(C50)-(C68)</f>
        <v>278633.76</v>
      </c>
      <c r="D69" s="6">
        <f>(D50)-(D68)</f>
        <v>22362.219999999987</v>
      </c>
    </row>
    <row r="70" spans="1:4" x14ac:dyDescent="0.3">
      <c r="A70" s="3" t="s">
        <v>62</v>
      </c>
      <c r="B70" s="4"/>
      <c r="C70" s="4"/>
      <c r="D70" s="4"/>
    </row>
    <row r="71" spans="1:4" x14ac:dyDescent="0.3">
      <c r="A71" s="3" t="s">
        <v>61</v>
      </c>
      <c r="B71" s="4"/>
      <c r="C71" s="5">
        <f>151.52</f>
        <v>151.52000000000001</v>
      </c>
      <c r="D71" s="5">
        <f>515.05</f>
        <v>515.04999999999995</v>
      </c>
    </row>
    <row r="72" spans="1:4" x14ac:dyDescent="0.3">
      <c r="A72" s="3" t="s">
        <v>60</v>
      </c>
      <c r="B72" s="6">
        <f>B71</f>
        <v>0</v>
      </c>
      <c r="C72" s="6">
        <f>C71</f>
        <v>151.52000000000001</v>
      </c>
      <c r="D72" s="6">
        <f>D71</f>
        <v>515.04999999999995</v>
      </c>
    </row>
    <row r="73" spans="1:4" x14ac:dyDescent="0.3">
      <c r="A73" s="3" t="s">
        <v>48</v>
      </c>
      <c r="B73" s="4"/>
      <c r="C73" s="4"/>
      <c r="D73" s="4"/>
    </row>
    <row r="74" spans="1:4" x14ac:dyDescent="0.3">
      <c r="A74" s="3" t="s">
        <v>49</v>
      </c>
      <c r="B74" s="5">
        <f>36</f>
        <v>36</v>
      </c>
      <c r="C74" s="5">
        <f>36</f>
        <v>36</v>
      </c>
      <c r="D74" s="5">
        <f>144</f>
        <v>144</v>
      </c>
    </row>
    <row r="75" spans="1:4" x14ac:dyDescent="0.3">
      <c r="A75" s="3" t="s">
        <v>50</v>
      </c>
      <c r="B75" s="5">
        <f>10800</f>
        <v>10800</v>
      </c>
      <c r="C75" s="5">
        <f>10800</f>
        <v>10800</v>
      </c>
      <c r="D75" s="5">
        <f>43200</f>
        <v>43200</v>
      </c>
    </row>
    <row r="76" spans="1:4" x14ac:dyDescent="0.3">
      <c r="A76" s="3" t="s">
        <v>51</v>
      </c>
      <c r="B76" s="5">
        <f>4358.59</f>
        <v>4358.59</v>
      </c>
      <c r="C76" s="5">
        <f>4527.89</f>
        <v>4527.8900000000003</v>
      </c>
      <c r="D76" s="5">
        <f>19401.45</f>
        <v>19401.45</v>
      </c>
    </row>
    <row r="77" spans="1:4" x14ac:dyDescent="0.3">
      <c r="A77" s="3" t="s">
        <v>59</v>
      </c>
      <c r="B77" s="4"/>
      <c r="C77" s="4"/>
      <c r="D77" s="5">
        <f>10</f>
        <v>10</v>
      </c>
    </row>
    <row r="78" spans="1:4" x14ac:dyDescent="0.3">
      <c r="A78" s="3" t="s">
        <v>52</v>
      </c>
      <c r="B78" s="5">
        <f>906</f>
        <v>906</v>
      </c>
      <c r="C78" s="4"/>
      <c r="D78" s="4"/>
    </row>
    <row r="79" spans="1:4" x14ac:dyDescent="0.3">
      <c r="A79" s="3" t="s">
        <v>53</v>
      </c>
      <c r="B79" s="6">
        <f>((((B74)+(B75))+(B76))+(B77))+(B78)</f>
        <v>16100.59</v>
      </c>
      <c r="C79" s="6">
        <f>((((C74)+(C75))+(C76))+(C77))+(C78)</f>
        <v>15363.89</v>
      </c>
      <c r="D79" s="6">
        <f>((((D74)+(D75))+(D76))+(D77))+(D78)</f>
        <v>62755.45</v>
      </c>
    </row>
    <row r="80" spans="1:4" x14ac:dyDescent="0.3">
      <c r="A80" s="3" t="s">
        <v>54</v>
      </c>
      <c r="B80" s="6">
        <f>(B72)-(B79)</f>
        <v>-16100.59</v>
      </c>
      <c r="C80" s="6">
        <f>(C72)-(C79)</f>
        <v>-15212.369999999999</v>
      </c>
      <c r="D80" s="6">
        <f>(D72)-(D79)</f>
        <v>-62240.399999999994</v>
      </c>
    </row>
    <row r="81" spans="1:4" x14ac:dyDescent="0.3">
      <c r="A81" s="3" t="s">
        <v>55</v>
      </c>
      <c r="B81" s="6">
        <f>(B69)+(B80)</f>
        <v>214287.73</v>
      </c>
      <c r="C81" s="6">
        <f>(C69)+(C80)</f>
        <v>263421.39</v>
      </c>
      <c r="D81" s="6">
        <f>(D69)+(D80)</f>
        <v>-39878.180000000008</v>
      </c>
    </row>
    <row r="82" spans="1:4" x14ac:dyDescent="0.3">
      <c r="A82" s="3"/>
      <c r="B82" s="4"/>
      <c r="C82" s="4"/>
      <c r="D82" s="4"/>
    </row>
    <row r="85" spans="1:4" x14ac:dyDescent="0.3">
      <c r="A85" s="7"/>
      <c r="B85" s="8"/>
      <c r="C85" s="8"/>
      <c r="D85" s="8"/>
    </row>
  </sheetData>
  <mergeCells count="5">
    <mergeCell ref="B5:D5"/>
    <mergeCell ref="A85:D85"/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BB5A7-DF8F-416D-B83C-FEA6318985EE}">
  <dimension ref="A1:N84"/>
  <sheetViews>
    <sheetView topLeftCell="A51" workbookViewId="0">
      <selection activeCell="A84" sqref="A84:N84"/>
    </sheetView>
  </sheetViews>
  <sheetFormatPr defaultRowHeight="14.4" x14ac:dyDescent="0.3"/>
  <cols>
    <col min="1" max="1" width="39.5546875" customWidth="1"/>
    <col min="2" max="10" width="12" customWidth="1"/>
    <col min="11" max="11" width="11.21875" customWidth="1"/>
    <col min="12" max="14" width="12" customWidth="1"/>
  </cols>
  <sheetData>
    <row r="1" spans="1:14" ht="17.399999999999999" x14ac:dyDescent="0.3">
      <c r="A1" s="9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7.399999999999999" x14ac:dyDescent="0.3">
      <c r="A2" s="9" t="s">
        <v>57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3">
      <c r="A3" s="10" t="s">
        <v>91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5" spans="1:14" x14ac:dyDescent="0.3">
      <c r="A5" s="1"/>
      <c r="B5" s="2" t="s">
        <v>90</v>
      </c>
      <c r="C5" s="2" t="s">
        <v>89</v>
      </c>
      <c r="D5" s="2" t="s">
        <v>88</v>
      </c>
      <c r="E5" s="2" t="s">
        <v>87</v>
      </c>
      <c r="F5" s="2" t="s">
        <v>86</v>
      </c>
      <c r="G5" s="2" t="s">
        <v>85</v>
      </c>
      <c r="H5" s="2" t="s">
        <v>84</v>
      </c>
      <c r="I5" s="2" t="s">
        <v>83</v>
      </c>
      <c r="J5" s="2" t="s">
        <v>82</v>
      </c>
      <c r="K5" s="2" t="s">
        <v>0</v>
      </c>
      <c r="L5" s="2" t="s">
        <v>1</v>
      </c>
      <c r="M5" s="2" t="s">
        <v>2</v>
      </c>
      <c r="N5" s="2" t="s">
        <v>3</v>
      </c>
    </row>
    <row r="6" spans="1:14" x14ac:dyDescent="0.3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3" t="s">
        <v>81</v>
      </c>
      <c r="B7" s="4"/>
      <c r="C7" s="5">
        <f>140</f>
        <v>140</v>
      </c>
      <c r="D7" s="5">
        <f>1800</f>
        <v>1800</v>
      </c>
      <c r="E7" s="5">
        <f>50</f>
        <v>50</v>
      </c>
      <c r="F7" s="4"/>
      <c r="G7" s="5">
        <f>650</f>
        <v>650</v>
      </c>
      <c r="H7" s="4"/>
      <c r="I7" s="4"/>
      <c r="J7" s="4"/>
      <c r="K7" s="4"/>
      <c r="L7" s="4"/>
      <c r="M7" s="4"/>
      <c r="N7" s="5">
        <f>(((((((((((B7)+(C7))+(D7))+(E7))+(F7))+(G7))+(H7))+(I7))+(J7))+(K7))+(L7))+(M7)</f>
        <v>2640</v>
      </c>
    </row>
    <row r="8" spans="1:14" x14ac:dyDescent="0.3">
      <c r="A8" s="3" t="s">
        <v>80</v>
      </c>
      <c r="B8" s="5">
        <f>3450</f>
        <v>3450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>
        <f>(((((((((((B8)+(C8))+(D8))+(E8))+(F8))+(G8))+(H8))+(I8))+(J8))+(K8))+(L8))+(M8)</f>
        <v>3450</v>
      </c>
    </row>
    <row r="9" spans="1:14" x14ac:dyDescent="0.3">
      <c r="A9" s="3" t="s">
        <v>5</v>
      </c>
      <c r="B9" s="5">
        <f>4200</f>
        <v>4200</v>
      </c>
      <c r="C9" s="5">
        <f>5850</f>
        <v>5850</v>
      </c>
      <c r="D9" s="5">
        <f>11025</f>
        <v>11025</v>
      </c>
      <c r="E9" s="5">
        <f>3387.5</f>
        <v>3387.5</v>
      </c>
      <c r="F9" s="5">
        <f>1950</f>
        <v>1950</v>
      </c>
      <c r="G9" s="5">
        <f>-9492.5</f>
        <v>-9492.5</v>
      </c>
      <c r="H9" s="5">
        <f>525</f>
        <v>525</v>
      </c>
      <c r="I9" s="4"/>
      <c r="J9" s="5">
        <f>3065.61</f>
        <v>3065.61</v>
      </c>
      <c r="K9" s="5">
        <f>302000</f>
        <v>302000</v>
      </c>
      <c r="L9" s="5">
        <f>3300</f>
        <v>3300</v>
      </c>
      <c r="M9" s="5">
        <f>-2789.98</f>
        <v>-2789.98</v>
      </c>
      <c r="N9" s="5">
        <f>(((((((((((B9)+(C9))+(D9))+(E9))+(F9))+(G9))+(H9))+(I9))+(J9))+(K9))+(L9))+(M9)</f>
        <v>323020.63</v>
      </c>
    </row>
    <row r="10" spans="1:14" x14ac:dyDescent="0.3">
      <c r="A10" s="3" t="s">
        <v>6</v>
      </c>
      <c r="B10" s="4"/>
      <c r="C10" s="5">
        <f>700</f>
        <v>700</v>
      </c>
      <c r="D10" s="5">
        <f>700</f>
        <v>700</v>
      </c>
      <c r="E10" s="5">
        <f>-900</f>
        <v>-900</v>
      </c>
      <c r="F10" s="4"/>
      <c r="G10" s="5">
        <f>-266.67</f>
        <v>-266.67</v>
      </c>
      <c r="H10" s="4"/>
      <c r="I10" s="5">
        <f>175</f>
        <v>175</v>
      </c>
      <c r="J10" s="5">
        <f>1.92</f>
        <v>1.92</v>
      </c>
      <c r="K10" s="5">
        <f>34090</f>
        <v>34090</v>
      </c>
      <c r="L10" s="5">
        <f>2195</f>
        <v>2195</v>
      </c>
      <c r="M10" s="5">
        <f>-60</f>
        <v>-60</v>
      </c>
      <c r="N10" s="5">
        <f>(((((((((((B10)+(C10))+(D10))+(E10))+(F10))+(G10))+(H10))+(I10))+(J10))+(K10))+(L10))+(M10)</f>
        <v>36635.25</v>
      </c>
    </row>
    <row r="11" spans="1:14" x14ac:dyDescent="0.3">
      <c r="A11" s="3" t="s">
        <v>79</v>
      </c>
      <c r="B11" s="5">
        <f>163.68</f>
        <v>163.68</v>
      </c>
      <c r="C11" s="4"/>
      <c r="D11" s="5">
        <f>133.5</f>
        <v>133.5</v>
      </c>
      <c r="E11" s="4"/>
      <c r="F11" s="4"/>
      <c r="G11" s="4"/>
      <c r="H11" s="4"/>
      <c r="I11" s="4"/>
      <c r="J11" s="4"/>
      <c r="K11" s="4"/>
      <c r="L11" s="4"/>
      <c r="M11" s="4"/>
      <c r="N11" s="5">
        <f>(((((((((((B11)+(C11))+(D11))+(E11))+(F11))+(G11))+(H11))+(I11))+(J11))+(K11))+(L11))+(M11)</f>
        <v>297.18</v>
      </c>
    </row>
    <row r="12" spans="1:14" x14ac:dyDescent="0.3">
      <c r="A12" s="3" t="s">
        <v>78</v>
      </c>
      <c r="B12" s="4"/>
      <c r="C12" s="4"/>
      <c r="D12" s="4"/>
      <c r="E12" s="4"/>
      <c r="F12" s="4"/>
      <c r="G12" s="4"/>
      <c r="H12" s="5">
        <f>268.07</f>
        <v>268.07</v>
      </c>
      <c r="I12" s="4"/>
      <c r="J12" s="4"/>
      <c r="K12" s="4"/>
      <c r="L12" s="4"/>
      <c r="M12" s="4"/>
      <c r="N12" s="5">
        <f>(((((((((((B12)+(C12))+(D12))+(E12))+(F12))+(G12))+(H12))+(I12))+(J12))+(K12))+(L12))+(M12)</f>
        <v>268.07</v>
      </c>
    </row>
    <row r="13" spans="1:14" x14ac:dyDescent="0.3">
      <c r="A13" s="3" t="s">
        <v>7</v>
      </c>
      <c r="B13" s="4"/>
      <c r="C13" s="5">
        <f>984</f>
        <v>984</v>
      </c>
      <c r="D13" s="5">
        <f>4692</f>
        <v>4692</v>
      </c>
      <c r="E13" s="5">
        <f>2577.5</f>
        <v>2577.5</v>
      </c>
      <c r="F13" s="5">
        <f>845.5</f>
        <v>845.5</v>
      </c>
      <c r="G13" s="5">
        <f>494</f>
        <v>494</v>
      </c>
      <c r="H13" s="4"/>
      <c r="I13" s="4"/>
      <c r="J13" s="4"/>
      <c r="K13" s="4"/>
      <c r="L13" s="5">
        <f>115</f>
        <v>115</v>
      </c>
      <c r="M13" s="5">
        <f>50</f>
        <v>50</v>
      </c>
      <c r="N13" s="5">
        <f>(((((((((((B13)+(C13))+(D13))+(E13))+(F13))+(G13))+(H13))+(I13))+(J13))+(K13))+(L13))+(M13)</f>
        <v>9758</v>
      </c>
    </row>
    <row r="14" spans="1:14" x14ac:dyDescent="0.3">
      <c r="A14" s="3" t="s">
        <v>8</v>
      </c>
      <c r="B14" s="5">
        <f>3847</f>
        <v>3847</v>
      </c>
      <c r="C14" s="5">
        <f>5553</f>
        <v>5553</v>
      </c>
      <c r="D14" s="5">
        <f>1100</f>
        <v>1100</v>
      </c>
      <c r="E14" s="5">
        <f>-55</f>
        <v>-55</v>
      </c>
      <c r="F14" s="4"/>
      <c r="G14" s="4"/>
      <c r="H14" s="4"/>
      <c r="I14" s="4"/>
      <c r="J14" s="4"/>
      <c r="K14" s="4"/>
      <c r="L14" s="4"/>
      <c r="M14" s="5">
        <f>3689</f>
        <v>3689</v>
      </c>
      <c r="N14" s="5">
        <f>(((((((((((B14)+(C14))+(D14))+(E14))+(F14))+(G14))+(H14))+(I14))+(J14))+(K14))+(L14))+(M14)</f>
        <v>14134</v>
      </c>
    </row>
    <row r="15" spans="1:14" x14ac:dyDescent="0.3">
      <c r="A15" s="3" t="s">
        <v>9</v>
      </c>
      <c r="B15" s="5">
        <f>80</f>
        <v>80</v>
      </c>
      <c r="C15" s="4"/>
      <c r="D15" s="4"/>
      <c r="E15" s="5">
        <f>140</f>
        <v>140</v>
      </c>
      <c r="F15" s="5">
        <f>120</f>
        <v>120</v>
      </c>
      <c r="G15" s="5">
        <f>110</f>
        <v>110</v>
      </c>
      <c r="H15" s="5">
        <f>40</f>
        <v>40</v>
      </c>
      <c r="I15" s="5">
        <f>20</f>
        <v>20</v>
      </c>
      <c r="J15" s="5">
        <f>30</f>
        <v>30</v>
      </c>
      <c r="K15" s="5">
        <f>30</f>
        <v>30</v>
      </c>
      <c r="L15" s="4"/>
      <c r="M15" s="5">
        <f>30</f>
        <v>30</v>
      </c>
      <c r="N15" s="5">
        <f>(((((((((((B15)+(C15))+(D15))+(E15))+(F15))+(G15))+(H15))+(I15))+(J15))+(K15))+(L15))+(M15)</f>
        <v>600</v>
      </c>
    </row>
    <row r="16" spans="1:14" x14ac:dyDescent="0.3">
      <c r="A16" s="3" t="s">
        <v>10</v>
      </c>
      <c r="B16" s="5">
        <f>104</f>
        <v>104</v>
      </c>
      <c r="C16" s="5">
        <f>362.5</f>
        <v>362.5</v>
      </c>
      <c r="D16" s="5">
        <f>878.5</f>
        <v>878.5</v>
      </c>
      <c r="E16" s="5">
        <f>474.5</f>
        <v>474.5</v>
      </c>
      <c r="F16" s="5">
        <f>195</f>
        <v>195</v>
      </c>
      <c r="G16" s="5">
        <f>253.5</f>
        <v>253.5</v>
      </c>
      <c r="H16" s="5">
        <f>123.5</f>
        <v>123.5</v>
      </c>
      <c r="I16" s="5">
        <f>97.5</f>
        <v>97.5</v>
      </c>
      <c r="J16" s="4"/>
      <c r="K16" s="5">
        <f>6.5</f>
        <v>6.5</v>
      </c>
      <c r="L16" s="4"/>
      <c r="M16" s="5">
        <f>71.5</f>
        <v>71.5</v>
      </c>
      <c r="N16" s="5">
        <f>(((((((((((B16)+(C16))+(D16))+(E16))+(F16))+(G16))+(H16))+(I16))+(J16))+(K16))+(L16))+(M16)</f>
        <v>2567</v>
      </c>
    </row>
    <row r="17" spans="1:14" x14ac:dyDescent="0.3">
      <c r="A17" s="3" t="s">
        <v>11</v>
      </c>
      <c r="B17" s="4"/>
      <c r="C17" s="5">
        <f>50</f>
        <v>50</v>
      </c>
      <c r="D17" s="4"/>
      <c r="E17" s="4"/>
      <c r="F17" s="4"/>
      <c r="G17" s="4"/>
      <c r="H17" s="4"/>
      <c r="I17" s="4"/>
      <c r="J17" s="4"/>
      <c r="K17" s="4"/>
      <c r="L17" s="4"/>
      <c r="M17" s="5">
        <f>50</f>
        <v>50</v>
      </c>
      <c r="N17" s="5">
        <f>(((((((((((B17)+(C17))+(D17))+(E17))+(F17))+(G17))+(H17))+(I17))+(J17))+(K17))+(L17))+(M17)</f>
        <v>100</v>
      </c>
    </row>
    <row r="18" spans="1:14" x14ac:dyDescent="0.3">
      <c r="A18" s="3" t="s">
        <v>12</v>
      </c>
      <c r="B18" s="6">
        <f>((((((((((B7)+(B8))+(B9))+(B10))+(B11))+(B12))+(B13))+(B14))+(B15))+(B16))+(B17)</f>
        <v>11844.68</v>
      </c>
      <c r="C18" s="6">
        <f>((((((((((C7)+(C8))+(C9))+(C10))+(C11))+(C12))+(C13))+(C14))+(C15))+(C16))+(C17)</f>
        <v>13639.5</v>
      </c>
      <c r="D18" s="6">
        <f>((((((((((D7)+(D8))+(D9))+(D10))+(D11))+(D12))+(D13))+(D14))+(D15))+(D16))+(D17)</f>
        <v>20329</v>
      </c>
      <c r="E18" s="6">
        <f>((((((((((E7)+(E8))+(E9))+(E10))+(E11))+(E12))+(E13))+(E14))+(E15))+(E16))+(E17)</f>
        <v>5674.5</v>
      </c>
      <c r="F18" s="6">
        <f>((((((((((F7)+(F8))+(F9))+(F10))+(F11))+(F12))+(F13))+(F14))+(F15))+(F16))+(F17)</f>
        <v>3110.5</v>
      </c>
      <c r="G18" s="6">
        <f>((((((((((G7)+(G8))+(G9))+(G10))+(G11))+(G12))+(G13))+(G14))+(G15))+(G16))+(G17)</f>
        <v>-8251.67</v>
      </c>
      <c r="H18" s="6">
        <f>((((((((((H7)+(H8))+(H9))+(H10))+(H11))+(H12))+(H13))+(H14))+(H15))+(H16))+(H17)</f>
        <v>956.56999999999994</v>
      </c>
      <c r="I18" s="6">
        <f>((((((((((I7)+(I8))+(I9))+(I10))+(I11))+(I12))+(I13))+(I14))+(I15))+(I16))+(I17)</f>
        <v>292.5</v>
      </c>
      <c r="J18" s="6">
        <f>((((((((((J7)+(J8))+(J9))+(J10))+(J11))+(J12))+(J13))+(J14))+(J15))+(J16))+(J17)</f>
        <v>3097.53</v>
      </c>
      <c r="K18" s="6">
        <f>((((((((((K7)+(K8))+(K9))+(K10))+(K11))+(K12))+(K13))+(K14))+(K15))+(K16))+(K17)</f>
        <v>336126.5</v>
      </c>
      <c r="L18" s="6">
        <f>((((((((((L7)+(L8))+(L9))+(L10))+(L11))+(L12))+(L13))+(L14))+(L15))+(L16))+(L17)</f>
        <v>5610</v>
      </c>
      <c r="M18" s="6">
        <f>((((((((((M7)+(M8))+(M9))+(M10))+(M11))+(M12))+(M13))+(M14))+(M15))+(M16))+(M17)</f>
        <v>1040.52</v>
      </c>
      <c r="N18" s="6">
        <f>(((((((((((B18)+(C18))+(D18))+(E18))+(F18))+(G18))+(H18))+(I18))+(J18))+(K18))+(L18))+(M18)</f>
        <v>393470.13</v>
      </c>
    </row>
    <row r="19" spans="1:14" x14ac:dyDescent="0.3">
      <c r="A19" s="3" t="s">
        <v>13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3">
      <c r="A20" s="3" t="s">
        <v>14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>
        <f>(((((((((((B20)+(C20))+(D20))+(E20))+(F20))+(G20))+(H20))+(I20))+(J20))+(K20))+(L20))+(M20)</f>
        <v>0</v>
      </c>
    </row>
    <row r="21" spans="1:14" x14ac:dyDescent="0.3">
      <c r="A21" s="3" t="s">
        <v>15</v>
      </c>
      <c r="B21" s="5">
        <f>397.01</f>
        <v>397.01</v>
      </c>
      <c r="C21" s="5">
        <f>7721.23</f>
        <v>7721.23</v>
      </c>
      <c r="D21" s="5">
        <f>2444.86</f>
        <v>2444.86</v>
      </c>
      <c r="E21" s="5">
        <f>253.5</f>
        <v>253.5</v>
      </c>
      <c r="F21" s="5">
        <f>1658.86</f>
        <v>1658.86</v>
      </c>
      <c r="G21" s="5">
        <f>775.3</f>
        <v>775.3</v>
      </c>
      <c r="H21" s="5">
        <f>707.05</f>
        <v>707.05</v>
      </c>
      <c r="I21" s="5">
        <f>5680.98</f>
        <v>5680.98</v>
      </c>
      <c r="J21" s="5">
        <f>719.09</f>
        <v>719.09</v>
      </c>
      <c r="K21" s="5">
        <f>871.93</f>
        <v>871.93</v>
      </c>
      <c r="L21" s="5">
        <f>55</f>
        <v>55</v>
      </c>
      <c r="M21" s="5">
        <f>7393.69</f>
        <v>7393.69</v>
      </c>
      <c r="N21" s="5">
        <f>(((((((((((B21)+(C21))+(D21))+(E21))+(F21))+(G21))+(H21))+(I21))+(J21))+(K21))+(L21))+(M21)</f>
        <v>28678.5</v>
      </c>
    </row>
    <row r="22" spans="1:14" x14ac:dyDescent="0.3">
      <c r="A22" s="3" t="s">
        <v>16</v>
      </c>
      <c r="B22" s="5">
        <f>1335</f>
        <v>1335</v>
      </c>
      <c r="C22" s="5">
        <f>2901</f>
        <v>2901</v>
      </c>
      <c r="D22" s="5">
        <f>1335</f>
        <v>1335</v>
      </c>
      <c r="E22" s="5">
        <f>1335</f>
        <v>1335</v>
      </c>
      <c r="F22" s="5">
        <f>1735</f>
        <v>1735</v>
      </c>
      <c r="G22" s="5">
        <f>2135</f>
        <v>2135</v>
      </c>
      <c r="H22" s="5">
        <f>1335</f>
        <v>1335</v>
      </c>
      <c r="I22" s="5">
        <f>1335</f>
        <v>1335</v>
      </c>
      <c r="J22" s="5">
        <f>1335</f>
        <v>1335</v>
      </c>
      <c r="K22" s="5">
        <f>1335</f>
        <v>1335</v>
      </c>
      <c r="L22" s="5">
        <f>1400</f>
        <v>1400</v>
      </c>
      <c r="M22" s="5">
        <f>1335</f>
        <v>1335</v>
      </c>
      <c r="N22" s="5">
        <f>(((((((((((B22)+(C22))+(D22))+(E22))+(F22))+(G22))+(H22))+(I22))+(J22))+(K22))+(L22))+(M22)</f>
        <v>18851</v>
      </c>
    </row>
    <row r="23" spans="1:14" x14ac:dyDescent="0.3">
      <c r="A23" s="3" t="s">
        <v>17</v>
      </c>
      <c r="B23" s="6">
        <f>((B20)+(B21))+(B22)</f>
        <v>1732.01</v>
      </c>
      <c r="C23" s="6">
        <f>((C20)+(C21))+(C22)</f>
        <v>10622.23</v>
      </c>
      <c r="D23" s="6">
        <f>((D20)+(D21))+(D22)</f>
        <v>3779.86</v>
      </c>
      <c r="E23" s="6">
        <f>((E20)+(E21))+(E22)</f>
        <v>1588.5</v>
      </c>
      <c r="F23" s="6">
        <f>((F20)+(F21))+(F22)</f>
        <v>3393.8599999999997</v>
      </c>
      <c r="G23" s="6">
        <f>((G20)+(G21))+(G22)</f>
        <v>2910.3</v>
      </c>
      <c r="H23" s="6">
        <f>((H20)+(H21))+(H22)</f>
        <v>2042.05</v>
      </c>
      <c r="I23" s="6">
        <f>((I20)+(I21))+(I22)</f>
        <v>7015.98</v>
      </c>
      <c r="J23" s="6">
        <f>((J20)+(J21))+(J22)</f>
        <v>2054.09</v>
      </c>
      <c r="K23" s="6">
        <f>((K20)+(K21))+(K22)</f>
        <v>2206.9299999999998</v>
      </c>
      <c r="L23" s="6">
        <f>((L20)+(L21))+(L22)</f>
        <v>1455</v>
      </c>
      <c r="M23" s="6">
        <f>((M20)+(M21))+(M22)</f>
        <v>8728.6899999999987</v>
      </c>
      <c r="N23" s="6">
        <f>(((((((((((B23)+(C23))+(D23))+(E23))+(F23))+(G23))+(H23))+(I23))+(J23))+(K23))+(L23))+(M23)</f>
        <v>47529.499999999985</v>
      </c>
    </row>
    <row r="24" spans="1:14" x14ac:dyDescent="0.3">
      <c r="A24" s="3" t="s">
        <v>18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>
        <f>(((((((((((B24)+(C24))+(D24))+(E24))+(F24))+(G24))+(H24))+(I24))+(J24))+(K24))+(L24))+(M24)</f>
        <v>0</v>
      </c>
    </row>
    <row r="25" spans="1:14" x14ac:dyDescent="0.3">
      <c r="A25" s="3" t="s">
        <v>77</v>
      </c>
      <c r="B25" s="5">
        <f>356.46</f>
        <v>356.46</v>
      </c>
      <c r="C25" s="5">
        <f>4686.78</f>
        <v>4686.78</v>
      </c>
      <c r="D25" s="5">
        <f>628.23</f>
        <v>628.23</v>
      </c>
      <c r="E25" s="5">
        <f>643.79</f>
        <v>643.79</v>
      </c>
      <c r="F25" s="5">
        <f>79.3</f>
        <v>79.3</v>
      </c>
      <c r="G25" s="5">
        <f>1249.35</f>
        <v>1249.3499999999999</v>
      </c>
      <c r="H25" s="4"/>
      <c r="I25" s="4"/>
      <c r="J25" s="4"/>
      <c r="K25" s="4"/>
      <c r="L25" s="4"/>
      <c r="M25" s="4"/>
      <c r="N25" s="5">
        <f>(((((((((((B25)+(C25))+(D25))+(E25))+(F25))+(G25))+(H25))+(I25))+(J25))+(K25))+(L25))+(M25)</f>
        <v>7643.91</v>
      </c>
    </row>
    <row r="26" spans="1:14" x14ac:dyDescent="0.3">
      <c r="A26" s="3" t="s">
        <v>19</v>
      </c>
      <c r="B26" s="5">
        <f>2500</f>
        <v>2500</v>
      </c>
      <c r="C26" s="4"/>
      <c r="D26" s="5">
        <f>13930.08</f>
        <v>13930.08</v>
      </c>
      <c r="E26" s="5">
        <f>29784.43</f>
        <v>29784.43</v>
      </c>
      <c r="F26" s="5">
        <f>11192.07</f>
        <v>11192.07</v>
      </c>
      <c r="G26" s="5">
        <f>6810.17</f>
        <v>6810.17</v>
      </c>
      <c r="H26" s="4"/>
      <c r="I26" s="5">
        <f>1467.5</f>
        <v>1467.5</v>
      </c>
      <c r="J26" s="5">
        <f>2916.67</f>
        <v>2916.67</v>
      </c>
      <c r="K26" s="5">
        <f>1666.67</f>
        <v>1666.67</v>
      </c>
      <c r="L26" s="5">
        <f>1666.67</f>
        <v>1666.67</v>
      </c>
      <c r="M26" s="5">
        <f>1666.67</f>
        <v>1666.67</v>
      </c>
      <c r="N26" s="5">
        <f>(((((((((((B26)+(C26))+(D26))+(E26))+(F26))+(G26))+(H26))+(I26))+(J26))+(K26))+(L26))+(M26)</f>
        <v>73600.929999999993</v>
      </c>
    </row>
    <row r="27" spans="1:14" x14ac:dyDescent="0.3">
      <c r="A27" s="3" t="s">
        <v>20</v>
      </c>
      <c r="B27" s="5">
        <f>302.08</f>
        <v>302.08</v>
      </c>
      <c r="C27" s="4"/>
      <c r="D27" s="5">
        <f>1453.26</f>
        <v>1453.26</v>
      </c>
      <c r="E27" s="5">
        <f>2928.17</f>
        <v>2928.17</v>
      </c>
      <c r="F27" s="5">
        <f>1177.12</f>
        <v>1177.1199999999999</v>
      </c>
      <c r="G27" s="5">
        <f>835.69</f>
        <v>835.69</v>
      </c>
      <c r="H27" s="4"/>
      <c r="I27" s="5">
        <f>175.35</f>
        <v>175.35</v>
      </c>
      <c r="J27" s="5">
        <f>624.07</f>
        <v>624.07000000000005</v>
      </c>
      <c r="K27" s="5">
        <f>184.28</f>
        <v>184.28</v>
      </c>
      <c r="L27" s="5">
        <f>193.17</f>
        <v>193.17</v>
      </c>
      <c r="M27" s="5">
        <f>193.17</f>
        <v>193.17</v>
      </c>
      <c r="N27" s="5">
        <f>(((((((((((B27)+(C27))+(D27))+(E27))+(F27))+(G27))+(H27))+(I27))+(J27))+(K27))+(L27))+(M27)</f>
        <v>8066.36</v>
      </c>
    </row>
    <row r="28" spans="1:14" x14ac:dyDescent="0.3">
      <c r="A28" s="3" t="s">
        <v>21</v>
      </c>
      <c r="B28" s="5">
        <f>965.2</f>
        <v>965.2</v>
      </c>
      <c r="C28" s="5">
        <f>4040.1</f>
        <v>4040.1</v>
      </c>
      <c r="D28" s="5">
        <f>5039.98</f>
        <v>5039.9799999999996</v>
      </c>
      <c r="E28" s="5">
        <f>2995.01</f>
        <v>2995.01</v>
      </c>
      <c r="F28" s="4"/>
      <c r="G28" s="5">
        <f>1525</f>
        <v>1525</v>
      </c>
      <c r="H28" s="5">
        <f>15089.58</f>
        <v>15089.58</v>
      </c>
      <c r="I28" s="4"/>
      <c r="J28" s="4"/>
      <c r="K28" s="4"/>
      <c r="L28" s="5">
        <f>37357</f>
        <v>37357</v>
      </c>
      <c r="M28" s="4"/>
      <c r="N28" s="5">
        <f>(((((((((((B28)+(C28))+(D28))+(E28))+(F28))+(G28))+(H28))+(I28))+(J28))+(K28))+(L28))+(M28)</f>
        <v>67011.87</v>
      </c>
    </row>
    <row r="29" spans="1:14" x14ac:dyDescent="0.3">
      <c r="A29" s="3" t="s">
        <v>22</v>
      </c>
      <c r="B29" s="6">
        <f>((((B24)+(B25))+(B26))+(B27))+(B28)</f>
        <v>4123.74</v>
      </c>
      <c r="C29" s="6">
        <f>((((C24)+(C25))+(C26))+(C27))+(C28)</f>
        <v>8726.8799999999992</v>
      </c>
      <c r="D29" s="6">
        <f>((((D24)+(D25))+(D26))+(D27))+(D28)</f>
        <v>21051.55</v>
      </c>
      <c r="E29" s="6">
        <f>((((E24)+(E25))+(E26))+(E27))+(E28)</f>
        <v>36351.4</v>
      </c>
      <c r="F29" s="6">
        <f>((((F24)+(F25))+(F26))+(F27))+(F28)</f>
        <v>12448.489999999998</v>
      </c>
      <c r="G29" s="6">
        <f>((((G24)+(G25))+(G26))+(G27))+(G28)</f>
        <v>10420.210000000001</v>
      </c>
      <c r="H29" s="6">
        <f>((((H24)+(H25))+(H26))+(H27))+(H28)</f>
        <v>15089.58</v>
      </c>
      <c r="I29" s="6">
        <f>((((I24)+(I25))+(I26))+(I27))+(I28)</f>
        <v>1642.85</v>
      </c>
      <c r="J29" s="6">
        <f>((((J24)+(J25))+(J26))+(J27))+(J28)</f>
        <v>3540.7400000000002</v>
      </c>
      <c r="K29" s="6">
        <f>((((K24)+(K25))+(K26))+(K27))+(K28)</f>
        <v>1850.95</v>
      </c>
      <c r="L29" s="6">
        <f>((((L24)+(L25))+(L26))+(L27))+(L28)</f>
        <v>39216.839999999997</v>
      </c>
      <c r="M29" s="6">
        <f>((((M24)+(M25))+(M26))+(M27))+(M28)</f>
        <v>1859.8400000000001</v>
      </c>
      <c r="N29" s="6">
        <f>(((((((((((B29)+(C29))+(D29))+(E29))+(F29))+(G29))+(H29))+(I29))+(J29))+(K29))+(L29))+(M29)</f>
        <v>156323.07</v>
      </c>
    </row>
    <row r="30" spans="1:14" x14ac:dyDescent="0.3">
      <c r="A30" s="3" t="s">
        <v>23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>
        <f>(((((((((((B30)+(C30))+(D30))+(E30))+(F30))+(G30))+(H30))+(I30))+(J30))+(K30))+(L30))+(M30)</f>
        <v>0</v>
      </c>
    </row>
    <row r="31" spans="1:14" x14ac:dyDescent="0.3">
      <c r="A31" s="3" t="s">
        <v>76</v>
      </c>
      <c r="B31" s="5">
        <f>0</f>
        <v>0</v>
      </c>
      <c r="C31" s="4"/>
      <c r="D31" s="5">
        <f>448.79</f>
        <v>448.79</v>
      </c>
      <c r="E31" s="5">
        <f>394.09</f>
        <v>394.09</v>
      </c>
      <c r="F31" s="5">
        <f>240.61</f>
        <v>240.61</v>
      </c>
      <c r="G31" s="5">
        <f>-48.6</f>
        <v>-48.6</v>
      </c>
      <c r="H31" s="4"/>
      <c r="I31" s="5">
        <f>3.74</f>
        <v>3.74</v>
      </c>
      <c r="J31" s="5"/>
      <c r="K31" s="5"/>
      <c r="L31" s="5"/>
      <c r="M31" s="5"/>
      <c r="N31" s="5">
        <f>(((((((((((B31)+(C31))+(D31))+(E31))+(F31))+(G31))+(H31))+(I31))+(J31))+(K31))+(L31))+(M31)</f>
        <v>1038.6300000000001</v>
      </c>
    </row>
    <row r="32" spans="1:14" x14ac:dyDescent="0.3">
      <c r="A32" s="3" t="s">
        <v>75</v>
      </c>
      <c r="B32" s="5">
        <f>0</f>
        <v>0</v>
      </c>
      <c r="C32" s="4"/>
      <c r="D32" s="5">
        <f>4953.43</f>
        <v>4953.43</v>
      </c>
      <c r="E32" s="5">
        <f>4349.74</f>
        <v>4349.74</v>
      </c>
      <c r="F32" s="5">
        <f>2655.67</f>
        <v>2655.67</v>
      </c>
      <c r="G32" s="5">
        <f>-536.34</f>
        <v>-536.34</v>
      </c>
      <c r="H32" s="4"/>
      <c r="I32" s="5">
        <f>41.25</f>
        <v>41.25</v>
      </c>
      <c r="J32" s="5">
        <f>0</f>
        <v>0</v>
      </c>
      <c r="K32" s="5">
        <f>0</f>
        <v>0</v>
      </c>
      <c r="L32" s="5">
        <f>0</f>
        <v>0</v>
      </c>
      <c r="M32" s="5">
        <f>0</f>
        <v>0</v>
      </c>
      <c r="N32" s="5">
        <f>(((((((((((B32)+(C32))+(D32))+(E32))+(F32))+(G32))+(H32))+(I32))+(J32))+(K32))+(L32))+(M32)</f>
        <v>11463.75</v>
      </c>
    </row>
    <row r="33" spans="1:14" x14ac:dyDescent="0.3">
      <c r="A33" s="3" t="s">
        <v>74</v>
      </c>
      <c r="B33" s="5">
        <f>452.83</f>
        <v>452.83</v>
      </c>
      <c r="C33" s="5">
        <f>1563.03</f>
        <v>1563.03</v>
      </c>
      <c r="D33" s="5">
        <f>1077.67</f>
        <v>1077.67</v>
      </c>
      <c r="E33" s="5">
        <f>3398.92</f>
        <v>3398.92</v>
      </c>
      <c r="F33" s="4"/>
      <c r="G33" s="4"/>
      <c r="H33" s="4"/>
      <c r="I33" s="4"/>
      <c r="J33" s="4"/>
      <c r="K33" s="4"/>
      <c r="L33" s="4"/>
      <c r="M33" s="4"/>
      <c r="N33" s="5">
        <f>(((((((((((B33)+(C33))+(D33))+(E33))+(F33))+(G33))+(H33))+(I33))+(J33))+(K33))+(L33))+(M33)</f>
        <v>6492.45</v>
      </c>
    </row>
    <row r="34" spans="1:14" x14ac:dyDescent="0.3">
      <c r="A34" s="3" t="s">
        <v>24</v>
      </c>
      <c r="B34" s="4"/>
      <c r="C34" s="4"/>
      <c r="D34" s="5">
        <f>2455</f>
        <v>2455</v>
      </c>
      <c r="E34" s="4"/>
      <c r="F34" s="4"/>
      <c r="G34" s="4"/>
      <c r="H34" s="4"/>
      <c r="I34" s="4"/>
      <c r="J34" s="4"/>
      <c r="K34" s="4"/>
      <c r="L34" s="4"/>
      <c r="M34" s="5">
        <f>-58.18</f>
        <v>-58.18</v>
      </c>
      <c r="N34" s="5">
        <f>(((((((((((B34)+(C34))+(D34))+(E34))+(F34))+(G34))+(H34))+(I34))+(J34))+(K34))+(L34))+(M34)</f>
        <v>2396.8200000000002</v>
      </c>
    </row>
    <row r="35" spans="1:14" x14ac:dyDescent="0.3">
      <c r="A35" s="3" t="s">
        <v>25</v>
      </c>
      <c r="B35" s="6">
        <f>((((B30)+(B31))+(B32))+(B33))+(B34)</f>
        <v>452.83</v>
      </c>
      <c r="C35" s="6">
        <f>((((C30)+(C31))+(C32))+(C33))+(C34)</f>
        <v>1563.03</v>
      </c>
      <c r="D35" s="6">
        <f>((((D30)+(D31))+(D32))+(D33))+(D34)</f>
        <v>8934.89</v>
      </c>
      <c r="E35" s="6">
        <f>((((E30)+(E31))+(E32))+(E33))+(E34)</f>
        <v>8142.75</v>
      </c>
      <c r="F35" s="6">
        <f>((((F30)+(F31))+(F32))+(F33))+(F34)</f>
        <v>2896.28</v>
      </c>
      <c r="G35" s="6">
        <f>((((G30)+(G31))+(G32))+(G33))+(G34)</f>
        <v>-584.94000000000005</v>
      </c>
      <c r="H35" s="6">
        <f>((((H30)+(H31))+(H32))+(H33))+(H34)</f>
        <v>0</v>
      </c>
      <c r="I35" s="6">
        <f>((((I30)+(I31))+(I32))+(I33))+(I34)</f>
        <v>44.99</v>
      </c>
      <c r="J35" s="6">
        <f>((((J30)+(J31))+(J32))+(J33))+(J34)</f>
        <v>0</v>
      </c>
      <c r="K35" s="6">
        <f>((((K30)+(K31))+(K32))+(K33))+(K34)</f>
        <v>0</v>
      </c>
      <c r="L35" s="6">
        <f>((((L30)+(L31))+(L32))+(L33))+(L34)</f>
        <v>0</v>
      </c>
      <c r="M35" s="6">
        <f>((((M30)+(M31))+(M32))+(M33))+(M34)</f>
        <v>-58.18</v>
      </c>
      <c r="N35" s="6">
        <f>(((((((((((B35)+(C35))+(D35))+(E35))+(F35))+(G35))+(H35))+(I35))+(J35))+(K35))+(L35))+(M35)</f>
        <v>21391.65</v>
      </c>
    </row>
    <row r="36" spans="1:14" x14ac:dyDescent="0.3">
      <c r="A36" s="3" t="s">
        <v>26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>
        <f>(((((((((((B36)+(C36))+(D36))+(E36))+(F36))+(G36))+(H36))+(I36))+(J36))+(K36))+(L36))+(M36)</f>
        <v>0</v>
      </c>
    </row>
    <row r="37" spans="1:14" x14ac:dyDescent="0.3">
      <c r="A37" s="3" t="s">
        <v>27</v>
      </c>
      <c r="B37" s="5">
        <f>5200</f>
        <v>5200</v>
      </c>
      <c r="C37" s="5">
        <f>15350</f>
        <v>15350</v>
      </c>
      <c r="D37" s="4"/>
      <c r="E37" s="5">
        <f>6025</f>
        <v>6025</v>
      </c>
      <c r="F37" s="5">
        <f>6025</f>
        <v>6025</v>
      </c>
      <c r="G37" s="5">
        <f>6025</f>
        <v>6025</v>
      </c>
      <c r="H37" s="5">
        <f>12050</f>
        <v>12050</v>
      </c>
      <c r="I37" s="4"/>
      <c r="J37" s="5">
        <f>6025</f>
        <v>6025</v>
      </c>
      <c r="K37" s="5">
        <f>6025</f>
        <v>6025</v>
      </c>
      <c r="L37" s="5">
        <f>6025</f>
        <v>6025</v>
      </c>
      <c r="M37" s="5">
        <f>6025</f>
        <v>6025</v>
      </c>
      <c r="N37" s="5">
        <f>(((((((((((B37)+(C37))+(D37))+(E37))+(F37))+(G37))+(H37))+(I37))+(J37))+(K37))+(L37))+(M37)</f>
        <v>74775</v>
      </c>
    </row>
    <row r="38" spans="1:14" x14ac:dyDescent="0.3">
      <c r="A38" s="3" t="s">
        <v>28</v>
      </c>
      <c r="B38" s="5">
        <f>6720</f>
        <v>6720</v>
      </c>
      <c r="C38" s="5">
        <f>1995</f>
        <v>1995</v>
      </c>
      <c r="D38" s="4"/>
      <c r="E38" s="5">
        <f>32.67</f>
        <v>32.67</v>
      </c>
      <c r="F38" s="4"/>
      <c r="G38" s="5">
        <f>1688.9</f>
        <v>1688.9</v>
      </c>
      <c r="H38" s="4"/>
      <c r="I38" s="4"/>
      <c r="J38" s="5">
        <f>2322.49</f>
        <v>2322.4899999999998</v>
      </c>
      <c r="K38" s="4"/>
      <c r="L38" s="4"/>
      <c r="M38" s="5">
        <f>9248</f>
        <v>9248</v>
      </c>
      <c r="N38" s="5">
        <f>(((((((((((B38)+(C38))+(D38))+(E38))+(F38))+(G38))+(H38))+(I38))+(J38))+(K38))+(L38))+(M38)</f>
        <v>22007.059999999998</v>
      </c>
    </row>
    <row r="39" spans="1:14" x14ac:dyDescent="0.3">
      <c r="A39" s="3" t="s">
        <v>29</v>
      </c>
      <c r="B39" s="5">
        <f>79.45</f>
        <v>79.45</v>
      </c>
      <c r="C39" s="5">
        <f>184.27</f>
        <v>184.27</v>
      </c>
      <c r="D39" s="4"/>
      <c r="E39" s="4"/>
      <c r="F39" s="4"/>
      <c r="G39" s="5">
        <f>268.89</f>
        <v>268.89</v>
      </c>
      <c r="H39" s="4"/>
      <c r="I39" s="4"/>
      <c r="J39" s="5">
        <f>413.92</f>
        <v>413.92</v>
      </c>
      <c r="K39" s="4"/>
      <c r="L39" s="4"/>
      <c r="M39" s="5">
        <f>30.43</f>
        <v>30.43</v>
      </c>
      <c r="N39" s="5">
        <f>(((((((((((B39)+(C39))+(D39))+(E39))+(F39))+(G39))+(H39))+(I39))+(J39))+(K39))+(L39))+(M39)</f>
        <v>976.95999999999992</v>
      </c>
    </row>
    <row r="40" spans="1:14" x14ac:dyDescent="0.3">
      <c r="A40" s="3" t="s">
        <v>30</v>
      </c>
      <c r="B40" s="4"/>
      <c r="C40" s="4"/>
      <c r="D40" s="5">
        <f>200</f>
        <v>200</v>
      </c>
      <c r="E40" s="4"/>
      <c r="F40" s="4"/>
      <c r="G40" s="4"/>
      <c r="H40" s="4"/>
      <c r="I40" s="4"/>
      <c r="J40" s="4"/>
      <c r="K40" s="4"/>
      <c r="L40" s="4"/>
      <c r="M40" s="5">
        <f>350</f>
        <v>350</v>
      </c>
      <c r="N40" s="5">
        <f>(((((((((((B40)+(C40))+(D40))+(E40))+(F40))+(G40))+(H40))+(I40))+(J40))+(K40))+(L40))+(M40)</f>
        <v>550</v>
      </c>
    </row>
    <row r="41" spans="1:14" x14ac:dyDescent="0.3">
      <c r="A41" s="3" t="s">
        <v>31</v>
      </c>
      <c r="B41" s="6">
        <f>((((B36)+(B37))+(B38))+(B39))+(B40)</f>
        <v>11999.45</v>
      </c>
      <c r="C41" s="6">
        <f>((((C36)+(C37))+(C38))+(C39))+(C40)</f>
        <v>17529.27</v>
      </c>
      <c r="D41" s="6">
        <f>((((D36)+(D37))+(D38))+(D39))+(D40)</f>
        <v>200</v>
      </c>
      <c r="E41" s="6">
        <f>((((E36)+(E37))+(E38))+(E39))+(E40)</f>
        <v>6057.67</v>
      </c>
      <c r="F41" s="6">
        <f>((((F36)+(F37))+(F38))+(F39))+(F40)</f>
        <v>6025</v>
      </c>
      <c r="G41" s="6">
        <f>((((G36)+(G37))+(G38))+(G39))+(G40)</f>
        <v>7982.79</v>
      </c>
      <c r="H41" s="6">
        <f>((((H36)+(H37))+(H38))+(H39))+(H40)</f>
        <v>12050</v>
      </c>
      <c r="I41" s="6">
        <f>((((I36)+(I37))+(I38))+(I39))+(I40)</f>
        <v>0</v>
      </c>
      <c r="J41" s="6">
        <f>((((J36)+(J37))+(J38))+(J39))+(J40)</f>
        <v>8761.41</v>
      </c>
      <c r="K41" s="6">
        <f>((((K36)+(K37))+(K38))+(K39))+(K40)</f>
        <v>6025</v>
      </c>
      <c r="L41" s="6">
        <f>((((L36)+(L37))+(L38))+(L39))+(L40)</f>
        <v>6025</v>
      </c>
      <c r="M41" s="6">
        <f>((((M36)+(M37))+(M38))+(M39))+(M40)</f>
        <v>15653.43</v>
      </c>
      <c r="N41" s="6">
        <f>(((((((((((B41)+(C41))+(D41))+(E41))+(F41))+(G41))+(H41))+(I41))+(J41))+(K41))+(L41))+(M41)</f>
        <v>98309.01999999999</v>
      </c>
    </row>
    <row r="42" spans="1:14" x14ac:dyDescent="0.3">
      <c r="A42" s="3" t="s">
        <v>32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>
        <f>(((((((((((B42)+(C42))+(D42))+(E42))+(F42))+(G42))+(H42))+(I42))+(J42))+(K42))+(L42))+(M42)</f>
        <v>0</v>
      </c>
    </row>
    <row r="43" spans="1:14" x14ac:dyDescent="0.3">
      <c r="A43" s="3" t="s">
        <v>33</v>
      </c>
      <c r="B43" s="5">
        <f>749.84</f>
        <v>749.84</v>
      </c>
      <c r="C43" s="5">
        <f>770.02</f>
        <v>770.02</v>
      </c>
      <c r="D43" s="5">
        <f>1555.27</f>
        <v>1555.27</v>
      </c>
      <c r="E43" s="5">
        <f>1954.21</f>
        <v>1954.21</v>
      </c>
      <c r="F43" s="5">
        <f>1824.03</f>
        <v>1824.03</v>
      </c>
      <c r="G43" s="5">
        <f>1894.49</f>
        <v>1894.49</v>
      </c>
      <c r="H43" s="5">
        <f>1303.79</f>
        <v>1303.79</v>
      </c>
      <c r="I43" s="5">
        <f>883.03</f>
        <v>883.03</v>
      </c>
      <c r="J43" s="5">
        <f>921.25</f>
        <v>921.25</v>
      </c>
      <c r="K43" s="5">
        <f>1013.14</f>
        <v>1013.14</v>
      </c>
      <c r="L43" s="5">
        <f>1056.5</f>
        <v>1056.5</v>
      </c>
      <c r="M43" s="5">
        <f>898.78</f>
        <v>898.78</v>
      </c>
      <c r="N43" s="5">
        <f>(((((((((((B43)+(C43))+(D43))+(E43))+(F43))+(G43))+(H43))+(I43))+(J43))+(K43))+(L43))+(M43)</f>
        <v>14824.350000000002</v>
      </c>
    </row>
    <row r="44" spans="1:14" x14ac:dyDescent="0.3">
      <c r="A44" s="3" t="s">
        <v>34</v>
      </c>
      <c r="B44" s="5">
        <f>244.33</f>
        <v>244.33</v>
      </c>
      <c r="C44" s="5">
        <f>244.33</f>
        <v>244.33</v>
      </c>
      <c r="D44" s="5">
        <f>244.33</f>
        <v>244.33</v>
      </c>
      <c r="E44" s="5">
        <f>244.33</f>
        <v>244.33</v>
      </c>
      <c r="F44" s="5">
        <f>244.33</f>
        <v>244.33</v>
      </c>
      <c r="G44" s="5">
        <f>244.33</f>
        <v>244.33</v>
      </c>
      <c r="H44" s="5">
        <f>244.33</f>
        <v>244.33</v>
      </c>
      <c r="I44" s="5">
        <f>244.33</f>
        <v>244.33</v>
      </c>
      <c r="J44" s="5">
        <f>244.33</f>
        <v>244.33</v>
      </c>
      <c r="K44" s="5">
        <f>244.33</f>
        <v>244.33</v>
      </c>
      <c r="L44" s="5">
        <f>244.33</f>
        <v>244.33</v>
      </c>
      <c r="M44" s="5">
        <f>244.33</f>
        <v>244.33</v>
      </c>
      <c r="N44" s="5">
        <f>(((((((((((B44)+(C44))+(D44))+(E44))+(F44))+(G44))+(H44))+(I44))+(J44))+(K44))+(L44))+(M44)</f>
        <v>2931.9599999999996</v>
      </c>
    </row>
    <row r="45" spans="1:14" x14ac:dyDescent="0.3">
      <c r="A45" s="3" t="s">
        <v>35</v>
      </c>
      <c r="B45" s="5">
        <f>958.21</f>
        <v>958.21</v>
      </c>
      <c r="C45" s="5">
        <f>1069.57</f>
        <v>1069.57</v>
      </c>
      <c r="D45" s="5">
        <f>455.85</f>
        <v>455.85</v>
      </c>
      <c r="E45" s="5">
        <f>1126.83</f>
        <v>1126.83</v>
      </c>
      <c r="F45" s="5">
        <f>1581.62</f>
        <v>1581.62</v>
      </c>
      <c r="G45" s="5">
        <f>1540.5</f>
        <v>1540.5</v>
      </c>
      <c r="H45" s="5">
        <f>898.3</f>
        <v>898.3</v>
      </c>
      <c r="I45" s="5">
        <f>937.82</f>
        <v>937.82</v>
      </c>
      <c r="J45" s="5">
        <f>157.3</f>
        <v>157.30000000000001</v>
      </c>
      <c r="K45" s="5">
        <f>779.74</f>
        <v>779.74</v>
      </c>
      <c r="L45" s="5">
        <f>512.98</f>
        <v>512.98</v>
      </c>
      <c r="M45" s="5">
        <f>167.18</f>
        <v>167.18</v>
      </c>
      <c r="N45" s="5">
        <f>(((((((((((B45)+(C45))+(D45))+(E45))+(F45))+(G45))+(H45))+(I45))+(J45))+(K45))+(L45))+(M45)</f>
        <v>10185.9</v>
      </c>
    </row>
    <row r="46" spans="1:14" x14ac:dyDescent="0.3">
      <c r="A46" s="3" t="s">
        <v>36</v>
      </c>
      <c r="B46" s="6">
        <f>(((B42)+(B43))+(B44))+(B45)</f>
        <v>1952.38</v>
      </c>
      <c r="C46" s="6">
        <f>(((C42)+(C43))+(C44))+(C45)</f>
        <v>2083.92</v>
      </c>
      <c r="D46" s="6">
        <f>(((D42)+(D43))+(D44))+(D45)</f>
        <v>2255.4499999999998</v>
      </c>
      <c r="E46" s="6">
        <f>(((E42)+(E43))+(E44))+(E45)</f>
        <v>3325.37</v>
      </c>
      <c r="F46" s="6">
        <f>(((F42)+(F43))+(F44))+(F45)</f>
        <v>3649.98</v>
      </c>
      <c r="G46" s="6">
        <f>(((G42)+(G43))+(G44))+(G45)</f>
        <v>3679.32</v>
      </c>
      <c r="H46" s="6">
        <f>(((H42)+(H43))+(H44))+(H45)</f>
        <v>2446.42</v>
      </c>
      <c r="I46" s="6">
        <f>(((I42)+(I43))+(I44))+(I45)</f>
        <v>2065.1799999999998</v>
      </c>
      <c r="J46" s="6">
        <f>(((J42)+(J43))+(J44))+(J45)</f>
        <v>1322.8799999999999</v>
      </c>
      <c r="K46" s="6">
        <f>(((K42)+(K43))+(K44))+(K45)</f>
        <v>2037.21</v>
      </c>
      <c r="L46" s="6">
        <f>(((L42)+(L43))+(L44))+(L45)</f>
        <v>1813.81</v>
      </c>
      <c r="M46" s="6">
        <f>(((M42)+(M43))+(M44))+(M45)</f>
        <v>1310.29</v>
      </c>
      <c r="N46" s="6">
        <f>(((((((((((B46)+(C46))+(D46))+(E46))+(F46))+(G46))+(H46))+(I46))+(J46))+(K46))+(L46))+(M46)</f>
        <v>27942.21</v>
      </c>
    </row>
    <row r="47" spans="1:14" x14ac:dyDescent="0.3">
      <c r="A47" s="3" t="s">
        <v>73</v>
      </c>
      <c r="B47" s="4"/>
      <c r="C47" s="4"/>
      <c r="D47" s="4"/>
      <c r="E47" s="5">
        <f>1558.01</f>
        <v>1558.01</v>
      </c>
      <c r="F47" s="4"/>
      <c r="G47" s="4"/>
      <c r="H47" s="4"/>
      <c r="I47" s="4"/>
      <c r="J47" s="4"/>
      <c r="K47" s="4"/>
      <c r="L47" s="4"/>
      <c r="M47" s="4"/>
      <c r="N47" s="5">
        <f>(((((((((((B47)+(C47))+(D47))+(E47))+(F47))+(G47))+(H47))+(I47))+(J47))+(K47))+(L47))+(M47)</f>
        <v>1558.01</v>
      </c>
    </row>
    <row r="48" spans="1:14" x14ac:dyDescent="0.3">
      <c r="A48" s="3" t="s">
        <v>37</v>
      </c>
      <c r="B48" s="6">
        <f>(((((B23)+(B29))+(B35))+(B41))+(B46))+(B47)</f>
        <v>20260.41</v>
      </c>
      <c r="C48" s="6">
        <f>(((((C23)+(C29))+(C35))+(C41))+(C46))+(C47)</f>
        <v>40525.33</v>
      </c>
      <c r="D48" s="6">
        <f>(((((D23)+(D29))+(D35))+(D41))+(D46))+(D47)</f>
        <v>36221.75</v>
      </c>
      <c r="E48" s="6">
        <f>(((((E23)+(E29))+(E35))+(E41))+(E46))+(E47)</f>
        <v>57023.700000000004</v>
      </c>
      <c r="F48" s="6">
        <f>(((((F23)+(F29))+(F35))+(F41))+(F46))+(F47)</f>
        <v>28413.609999999997</v>
      </c>
      <c r="G48" s="6">
        <f>(((((G23)+(G29))+(G35))+(G41))+(G46))+(G47)</f>
        <v>24407.68</v>
      </c>
      <c r="H48" s="6">
        <f>(((((H23)+(H29))+(H35))+(H41))+(H46))+(H47)</f>
        <v>31628.050000000003</v>
      </c>
      <c r="I48" s="6">
        <f>(((((I23)+(I29))+(I35))+(I41))+(I46))+(I47)</f>
        <v>10769</v>
      </c>
      <c r="J48" s="6">
        <f>(((((J23)+(J29))+(J35))+(J41))+(J46))+(J47)</f>
        <v>15679.119999999999</v>
      </c>
      <c r="K48" s="6">
        <f>(((((K23)+(K29))+(K35))+(K41))+(K46))+(K47)</f>
        <v>12120.09</v>
      </c>
      <c r="L48" s="6">
        <f>(((((L23)+(L29))+(L35))+(L41))+(L46))+(L47)</f>
        <v>48510.649999999994</v>
      </c>
      <c r="M48" s="6">
        <f>(((((M23)+(M29))+(M35))+(M41))+(M46))+(M47)</f>
        <v>27494.07</v>
      </c>
      <c r="N48" s="6">
        <f>(((((((((((B48)+(C48))+(D48))+(E48))+(F48))+(G48))+(H48))+(I48))+(J48))+(K48))+(L48))+(M48)</f>
        <v>353053.46</v>
      </c>
    </row>
    <row r="49" spans="1:14" x14ac:dyDescent="0.3">
      <c r="A49" s="3" t="s">
        <v>38</v>
      </c>
      <c r="B49" s="6">
        <f>(B18)-(B48)</f>
        <v>-8415.73</v>
      </c>
      <c r="C49" s="6">
        <f>(C18)-(C48)</f>
        <v>-26885.83</v>
      </c>
      <c r="D49" s="6">
        <f>(D18)-(D48)</f>
        <v>-15892.75</v>
      </c>
      <c r="E49" s="6">
        <f>(E18)-(E48)</f>
        <v>-51349.200000000004</v>
      </c>
      <c r="F49" s="6">
        <f>(F18)-(F48)</f>
        <v>-25303.109999999997</v>
      </c>
      <c r="G49" s="6">
        <f>(G18)-(G48)</f>
        <v>-32659.35</v>
      </c>
      <c r="H49" s="6">
        <f>(H18)-(H48)</f>
        <v>-30671.480000000003</v>
      </c>
      <c r="I49" s="6">
        <f>(I18)-(I48)</f>
        <v>-10476.5</v>
      </c>
      <c r="J49" s="6">
        <f>(J18)-(J48)</f>
        <v>-12581.589999999998</v>
      </c>
      <c r="K49" s="6">
        <f>(K18)-(K48)</f>
        <v>324006.40999999997</v>
      </c>
      <c r="L49" s="6">
        <f>(L18)-(L48)</f>
        <v>-42900.649999999994</v>
      </c>
      <c r="M49" s="6">
        <f>(M18)-(M48)</f>
        <v>-26453.55</v>
      </c>
      <c r="N49" s="6">
        <f>(((((((((((B49)+(C49))+(D49))+(E49))+(F49))+(G49))+(H49))+(I49))+(J49))+(K49))+(L49))+(M49)</f>
        <v>40416.669999999969</v>
      </c>
    </row>
    <row r="50" spans="1:14" x14ac:dyDescent="0.3">
      <c r="A50" s="3" t="s">
        <v>39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3">
      <c r="A51" s="3" t="s">
        <v>72</v>
      </c>
      <c r="B51" s="4"/>
      <c r="C51" s="4"/>
      <c r="D51" s="4"/>
      <c r="E51" s="4"/>
      <c r="F51" s="5">
        <f>200</f>
        <v>200</v>
      </c>
      <c r="G51" s="5">
        <f>500</f>
        <v>500</v>
      </c>
      <c r="H51" s="4"/>
      <c r="I51" s="4"/>
      <c r="J51" s="4"/>
      <c r="K51" s="4"/>
      <c r="L51" s="4"/>
      <c r="M51" s="4"/>
      <c r="N51" s="5">
        <f>(((((((((((B51)+(C51))+(D51))+(E51))+(F51))+(G51))+(H51))+(I51))+(J51))+(K51))+(L51))+(M51)</f>
        <v>700</v>
      </c>
    </row>
    <row r="52" spans="1:14" x14ac:dyDescent="0.3">
      <c r="A52" s="3" t="s">
        <v>40</v>
      </c>
      <c r="B52" s="5">
        <f>772.56</f>
        <v>772.56</v>
      </c>
      <c r="C52" s="5">
        <f>507.46</f>
        <v>507.46</v>
      </c>
      <c r="D52" s="5">
        <f>362.03</f>
        <v>362.03</v>
      </c>
      <c r="E52" s="5">
        <f>486.19</f>
        <v>486.19</v>
      </c>
      <c r="F52" s="5">
        <f>281.61</f>
        <v>281.61</v>
      </c>
      <c r="G52" s="5">
        <f>14.97</f>
        <v>14.97</v>
      </c>
      <c r="H52" s="5">
        <f>78.8</f>
        <v>78.8</v>
      </c>
      <c r="I52" s="5">
        <f>329.12</f>
        <v>329.12</v>
      </c>
      <c r="J52" s="5">
        <f>-26.28</f>
        <v>-26.28</v>
      </c>
      <c r="K52" s="5">
        <f>28.37</f>
        <v>28.37</v>
      </c>
      <c r="L52" s="5">
        <f>980.31</f>
        <v>980.31</v>
      </c>
      <c r="M52" s="5">
        <f>452.54</f>
        <v>452.54</v>
      </c>
      <c r="N52" s="5">
        <f>(((((((((((B52)+(C52))+(D52))+(E52))+(F52))+(G52))+(H52))+(I52))+(J52))+(K52))+(L52))+(M52)</f>
        <v>4267.6799999999994</v>
      </c>
    </row>
    <row r="53" spans="1:14" x14ac:dyDescent="0.3">
      <c r="A53" s="3" t="s">
        <v>71</v>
      </c>
      <c r="B53" s="5">
        <f>17</f>
        <v>17</v>
      </c>
      <c r="C53" s="5">
        <f>28.73</f>
        <v>28.73</v>
      </c>
      <c r="D53" s="5">
        <f>28.73</f>
        <v>28.73</v>
      </c>
      <c r="E53" s="5">
        <f>28.73</f>
        <v>28.73</v>
      </c>
      <c r="F53" s="5">
        <f>28.73</f>
        <v>28.73</v>
      </c>
      <c r="G53" s="5">
        <f>17</f>
        <v>17</v>
      </c>
      <c r="H53" s="5">
        <f>12.47</f>
        <v>12.47</v>
      </c>
      <c r="I53" s="4"/>
      <c r="J53" s="4"/>
      <c r="K53" s="4"/>
      <c r="L53" s="4"/>
      <c r="M53" s="4"/>
      <c r="N53" s="5">
        <f>(((((((((((B53)+(C53))+(D53))+(E53))+(F53))+(G53))+(H53))+(I53))+(J53))+(K53))+(L53))+(M53)</f>
        <v>161.39000000000001</v>
      </c>
    </row>
    <row r="54" spans="1:14" x14ac:dyDescent="0.3">
      <c r="A54" s="3" t="s">
        <v>70</v>
      </c>
      <c r="B54" s="4"/>
      <c r="C54" s="4"/>
      <c r="D54" s="4"/>
      <c r="E54" s="4"/>
      <c r="F54" s="5">
        <f>93.44</f>
        <v>93.44</v>
      </c>
      <c r="G54" s="4"/>
      <c r="H54" s="4"/>
      <c r="I54" s="4"/>
      <c r="J54" s="4"/>
      <c r="K54" s="4"/>
      <c r="L54" s="4"/>
      <c r="M54" s="4"/>
      <c r="N54" s="5">
        <f>(((((((((((B54)+(C54))+(D54))+(E54))+(F54))+(G54))+(H54))+(I54))+(J54))+(K54))+(L54))+(M54)</f>
        <v>93.44</v>
      </c>
    </row>
    <row r="55" spans="1:14" x14ac:dyDescent="0.3">
      <c r="A55" s="3" t="s">
        <v>41</v>
      </c>
      <c r="B55" s="4"/>
      <c r="C55" s="4"/>
      <c r="D55" s="5">
        <f>5180</f>
        <v>5180</v>
      </c>
      <c r="E55" s="4"/>
      <c r="F55" s="4"/>
      <c r="G55" s="4"/>
      <c r="H55" s="4"/>
      <c r="I55" s="4"/>
      <c r="J55" s="4"/>
      <c r="K55" s="4"/>
      <c r="L55" s="5">
        <f>15710</f>
        <v>15710</v>
      </c>
      <c r="M55" s="4"/>
      <c r="N55" s="5">
        <f>(((((((((((B55)+(C55))+(D55))+(E55))+(F55))+(G55))+(H55))+(I55))+(J55))+(K55))+(L55))+(M55)</f>
        <v>20890</v>
      </c>
    </row>
    <row r="56" spans="1:14" x14ac:dyDescent="0.3">
      <c r="A56" s="3" t="s">
        <v>42</v>
      </c>
      <c r="B56" s="5">
        <f>2903</f>
        <v>2903</v>
      </c>
      <c r="C56" s="5">
        <f>210</f>
        <v>210</v>
      </c>
      <c r="D56" s="5">
        <f>780</f>
        <v>780</v>
      </c>
      <c r="E56" s="5">
        <f>240</f>
        <v>240</v>
      </c>
      <c r="F56" s="5">
        <f>180</f>
        <v>180</v>
      </c>
      <c r="G56" s="5">
        <f>840</f>
        <v>840</v>
      </c>
      <c r="H56" s="5">
        <f>1320</f>
        <v>1320</v>
      </c>
      <c r="I56" s="5">
        <f>780</f>
        <v>780</v>
      </c>
      <c r="J56" s="5">
        <f>540</f>
        <v>540</v>
      </c>
      <c r="K56" s="5">
        <f>690</f>
        <v>690</v>
      </c>
      <c r="L56" s="5">
        <f>900</f>
        <v>900</v>
      </c>
      <c r="M56" s="5">
        <f>2978</f>
        <v>2978</v>
      </c>
      <c r="N56" s="5">
        <f>(((((((((((B56)+(C56))+(D56))+(E56))+(F56))+(G56))+(H56))+(I56))+(J56))+(K56))+(L56))+(M56)</f>
        <v>12361</v>
      </c>
    </row>
    <row r="57" spans="1:14" x14ac:dyDescent="0.3">
      <c r="A57" s="3" t="s">
        <v>69</v>
      </c>
      <c r="B57" s="4"/>
      <c r="C57" s="5">
        <f>42.66</f>
        <v>42.66</v>
      </c>
      <c r="D57" s="5">
        <f>97.37</f>
        <v>97.37</v>
      </c>
      <c r="E57" s="5">
        <f>30.37</f>
        <v>30.37</v>
      </c>
      <c r="F57" s="5">
        <f>568.5</f>
        <v>568.5</v>
      </c>
      <c r="G57" s="4"/>
      <c r="H57" s="4"/>
      <c r="I57" s="4"/>
      <c r="J57" s="4"/>
      <c r="K57" s="4"/>
      <c r="L57" s="4"/>
      <c r="M57" s="4"/>
      <c r="N57" s="5">
        <f>(((((((((((B57)+(C57))+(D57))+(E57))+(F57))+(G57))+(H57))+(I57))+(J57))+(K57))+(L57))+(M57)</f>
        <v>738.9</v>
      </c>
    </row>
    <row r="58" spans="1:14" x14ac:dyDescent="0.3">
      <c r="A58" s="3" t="s">
        <v>68</v>
      </c>
      <c r="B58" s="4"/>
      <c r="C58" s="4"/>
      <c r="D58" s="4"/>
      <c r="E58" s="5">
        <f>22.42</f>
        <v>22.42</v>
      </c>
      <c r="F58" s="4"/>
      <c r="G58" s="4"/>
      <c r="H58" s="4"/>
      <c r="I58" s="4"/>
      <c r="J58" s="4"/>
      <c r="K58" s="4"/>
      <c r="L58" s="4"/>
      <c r="M58" s="4"/>
      <c r="N58" s="5">
        <f>(((((((((((B58)+(C58))+(D58))+(E58))+(F58))+(G58))+(H58))+(I58))+(J58))+(K58))+(L58))+(M58)</f>
        <v>22.42</v>
      </c>
    </row>
    <row r="59" spans="1:14" x14ac:dyDescent="0.3">
      <c r="A59" s="3" t="s">
        <v>43</v>
      </c>
      <c r="B59" s="5">
        <f>99</f>
        <v>99</v>
      </c>
      <c r="C59" s="5">
        <f>99</f>
        <v>99</v>
      </c>
      <c r="D59" s="5">
        <f>179</f>
        <v>179</v>
      </c>
      <c r="E59" s="5">
        <f>129.63</f>
        <v>129.63</v>
      </c>
      <c r="F59" s="5">
        <f>615</f>
        <v>615</v>
      </c>
      <c r="G59" s="5">
        <f>115</f>
        <v>115</v>
      </c>
      <c r="H59" s="5">
        <f>150</f>
        <v>150</v>
      </c>
      <c r="I59" s="5">
        <f>115</f>
        <v>115</v>
      </c>
      <c r="J59" s="5">
        <f>115</f>
        <v>115</v>
      </c>
      <c r="K59" s="5">
        <f>1017.9</f>
        <v>1017.9</v>
      </c>
      <c r="L59" s="5">
        <f>112.77</f>
        <v>112.77</v>
      </c>
      <c r="M59" s="5">
        <f>115</f>
        <v>115</v>
      </c>
      <c r="N59" s="5">
        <f>(((((((((((B59)+(C59))+(D59))+(E59))+(F59))+(G59))+(H59))+(I59))+(J59))+(K59))+(L59))+(M59)</f>
        <v>2862.3</v>
      </c>
    </row>
    <row r="60" spans="1:14" x14ac:dyDescent="0.3">
      <c r="A60" s="3" t="s">
        <v>67</v>
      </c>
      <c r="B60" s="4"/>
      <c r="C60" s="4"/>
      <c r="D60" s="4"/>
      <c r="E60" s="4"/>
      <c r="F60" s="4"/>
      <c r="G60" s="4"/>
      <c r="H60" s="4"/>
      <c r="I60" s="4"/>
      <c r="J60" s="5">
        <f>550</f>
        <v>550</v>
      </c>
      <c r="K60" s="4"/>
      <c r="L60" s="4"/>
      <c r="M60" s="4"/>
      <c r="N60" s="5">
        <f>(((((((((((B60)+(C60))+(D60))+(E60))+(F60))+(G60))+(H60))+(I60))+(J60))+(K60))+(L60))+(M60)</f>
        <v>550</v>
      </c>
    </row>
    <row r="61" spans="1:14" x14ac:dyDescent="0.3">
      <c r="A61" s="3" t="s">
        <v>66</v>
      </c>
      <c r="B61" s="4"/>
      <c r="C61" s="4"/>
      <c r="D61" s="4"/>
      <c r="E61" s="4"/>
      <c r="F61" s="5">
        <f>10210.79</f>
        <v>10210.790000000001</v>
      </c>
      <c r="G61" s="5">
        <f>1375.97</f>
        <v>1375.97</v>
      </c>
      <c r="H61" s="4"/>
      <c r="I61" s="4"/>
      <c r="J61" s="4"/>
      <c r="K61" s="4"/>
      <c r="L61" s="4"/>
      <c r="M61" s="4"/>
      <c r="N61" s="5">
        <f>(((((((((((B61)+(C61))+(D61))+(E61))+(F61))+(G61))+(H61))+(I61))+(J61))+(K61))+(L61))+(M61)</f>
        <v>11586.76</v>
      </c>
    </row>
    <row r="62" spans="1:14" x14ac:dyDescent="0.3">
      <c r="A62" s="3" t="s">
        <v>44</v>
      </c>
      <c r="B62" s="5">
        <f>508</f>
        <v>508</v>
      </c>
      <c r="C62" s="5">
        <f>26.08</f>
        <v>26.08</v>
      </c>
      <c r="D62" s="4"/>
      <c r="E62" s="5">
        <f>100</f>
        <v>100</v>
      </c>
      <c r="F62" s="4"/>
      <c r="G62" s="4"/>
      <c r="H62" s="4"/>
      <c r="I62" s="4"/>
      <c r="J62" s="4"/>
      <c r="K62" s="4"/>
      <c r="L62" s="4"/>
      <c r="M62" s="5">
        <f>425</f>
        <v>425</v>
      </c>
      <c r="N62" s="5">
        <f>(((((((((((B62)+(C62))+(D62))+(E62))+(F62))+(G62))+(H62))+(I62))+(J62))+(K62))+(L62))+(M62)</f>
        <v>1059.08</v>
      </c>
    </row>
    <row r="63" spans="1:14" x14ac:dyDescent="0.3">
      <c r="A63" s="3" t="s">
        <v>45</v>
      </c>
      <c r="B63" s="4"/>
      <c r="C63" s="5">
        <f>1607.42</f>
        <v>1607.42</v>
      </c>
      <c r="D63" s="5">
        <f>2185.61</f>
        <v>2185.61</v>
      </c>
      <c r="E63" s="4"/>
      <c r="F63" s="5">
        <f>709.09</f>
        <v>709.09</v>
      </c>
      <c r="G63" s="4"/>
      <c r="H63" s="4"/>
      <c r="I63" s="4"/>
      <c r="J63" s="4"/>
      <c r="K63" s="4"/>
      <c r="L63" s="4"/>
      <c r="M63" s="5">
        <f>854</f>
        <v>854</v>
      </c>
      <c r="N63" s="5">
        <f>(((((((((((B63)+(C63))+(D63))+(E63))+(F63))+(G63))+(H63))+(I63))+(J63))+(K63))+(L63))+(M63)</f>
        <v>5356.12</v>
      </c>
    </row>
    <row r="64" spans="1:14" x14ac:dyDescent="0.3">
      <c r="A64" s="3" t="s">
        <v>65</v>
      </c>
      <c r="B64" s="5">
        <f>984.27</f>
        <v>984.27</v>
      </c>
      <c r="C64" s="5">
        <f>205.19</f>
        <v>205.19</v>
      </c>
      <c r="D64" s="5">
        <f>57.61</f>
        <v>57.61</v>
      </c>
      <c r="E64" s="5">
        <f>462.98</f>
        <v>462.98</v>
      </c>
      <c r="F64" s="4"/>
      <c r="G64" s="5">
        <f>598.33</f>
        <v>598.33000000000004</v>
      </c>
      <c r="H64" s="4"/>
      <c r="I64" s="4"/>
      <c r="J64" s="4"/>
      <c r="K64" s="4"/>
      <c r="L64" s="4"/>
      <c r="M64" s="4"/>
      <c r="N64" s="5">
        <f>(((((((((((B64)+(C64))+(D64))+(E64))+(F64))+(G64))+(H64))+(I64))+(J64))+(K64))+(L64))+(M64)</f>
        <v>2308.38</v>
      </c>
    </row>
    <row r="65" spans="1:14" x14ac:dyDescent="0.3">
      <c r="A65" s="3" t="s">
        <v>64</v>
      </c>
      <c r="B65" s="4"/>
      <c r="C65" s="5">
        <f>247.76</f>
        <v>247.76</v>
      </c>
      <c r="D65" s="5">
        <f>-26.89</f>
        <v>-26.89</v>
      </c>
      <c r="E65" s="5">
        <f>176.8</f>
        <v>176.8</v>
      </c>
      <c r="F65" s="5">
        <f>7.9</f>
        <v>7.9</v>
      </c>
      <c r="G65" s="5">
        <f>1186.85</f>
        <v>1186.8499999999999</v>
      </c>
      <c r="H65" s="4"/>
      <c r="I65" s="4"/>
      <c r="J65" s="4"/>
      <c r="K65" s="4"/>
      <c r="L65" s="4"/>
      <c r="M65" s="4"/>
      <c r="N65" s="5">
        <f>(((((((((((B65)+(C65))+(D65))+(E65))+(F65))+(G65))+(H65))+(I65))+(J65))+(K65))+(L65))+(M65)</f>
        <v>1592.4199999999998</v>
      </c>
    </row>
    <row r="66" spans="1:14" x14ac:dyDescent="0.3">
      <c r="A66" s="3" t="s">
        <v>63</v>
      </c>
      <c r="B66" s="4"/>
      <c r="C66" s="4"/>
      <c r="D66" s="5">
        <f>1750</f>
        <v>1750</v>
      </c>
      <c r="E66" s="4"/>
      <c r="F66" s="4"/>
      <c r="G66" s="4"/>
      <c r="H66" s="4"/>
      <c r="I66" s="4"/>
      <c r="J66" s="4"/>
      <c r="K66" s="4"/>
      <c r="L66" s="4"/>
      <c r="M66" s="4"/>
      <c r="N66" s="5">
        <f>(((((((((((B66)+(C66))+(D66))+(E66))+(F66))+(G66))+(H66))+(I66))+(J66))+(K66))+(L66))+(M66)</f>
        <v>1750</v>
      </c>
    </row>
    <row r="67" spans="1:14" x14ac:dyDescent="0.3">
      <c r="A67" s="3" t="s">
        <v>46</v>
      </c>
      <c r="B67" s="6">
        <f>(((((((((((((((B51)+(B52))+(B53))+(B54))+(B55))+(B56))+(B57))+(B58))+(B59))+(B60))+(B61))+(B62))+(B63))+(B64))+(B65))+(B66)</f>
        <v>5283.83</v>
      </c>
      <c r="C67" s="6">
        <f>(((((((((((((((C51)+(C52))+(C53))+(C54))+(C55))+(C56))+(C57))+(C58))+(C59))+(C60))+(C61))+(C62))+(C63))+(C64))+(C65))+(C66)</f>
        <v>2974.3</v>
      </c>
      <c r="D67" s="6">
        <f>(((((((((((((((D51)+(D52))+(D53))+(D54))+(D55))+(D56))+(D57))+(D58))+(D59))+(D60))+(D61))+(D62))+(D63))+(D64))+(D65))+(D66)</f>
        <v>10593.460000000001</v>
      </c>
      <c r="E67" s="6">
        <f>(((((((((((((((E51)+(E52))+(E53))+(E54))+(E55))+(E56))+(E57))+(E58))+(E59))+(E60))+(E61))+(E62))+(E63))+(E64))+(E65))+(E66)</f>
        <v>1677.12</v>
      </c>
      <c r="F67" s="6">
        <f>(((((((((((((((F51)+(F52))+(F53))+(F54))+(F55))+(F56))+(F57))+(F58))+(F59))+(F60))+(F61))+(F62))+(F63))+(F64))+(F65))+(F66)</f>
        <v>12895.060000000001</v>
      </c>
      <c r="G67" s="6">
        <f>(((((((((((((((G51)+(G52))+(G53))+(G54))+(G55))+(G56))+(G57))+(G58))+(G59))+(G60))+(G61))+(G62))+(G63))+(G64))+(G65))+(G66)</f>
        <v>4648.12</v>
      </c>
      <c r="H67" s="6">
        <f>(((((((((((((((H51)+(H52))+(H53))+(H54))+(H55))+(H56))+(H57))+(H58))+(H59))+(H60))+(H61))+(H62))+(H63))+(H64))+(H65))+(H66)</f>
        <v>1561.27</v>
      </c>
      <c r="I67" s="6">
        <f>(((((((((((((((I51)+(I52))+(I53))+(I54))+(I55))+(I56))+(I57))+(I58))+(I59))+(I60))+(I61))+(I62))+(I63))+(I64))+(I65))+(I66)</f>
        <v>1224.1199999999999</v>
      </c>
      <c r="J67" s="6">
        <f>(((((((((((((((J51)+(J52))+(J53))+(J54))+(J55))+(J56))+(J57))+(J58))+(J59))+(J60))+(J61))+(J62))+(J63))+(J64))+(J65))+(J66)</f>
        <v>1178.72</v>
      </c>
      <c r="K67" s="6">
        <f>(((((((((((((((K51)+(K52))+(K53))+(K54))+(K55))+(K56))+(K57))+(K58))+(K59))+(K60))+(K61))+(K62))+(K63))+(K64))+(K65))+(K66)</f>
        <v>1736.27</v>
      </c>
      <c r="L67" s="6">
        <f>(((((((((((((((L51)+(L52))+(L53))+(L54))+(L55))+(L56))+(L57))+(L58))+(L59))+(L60))+(L61))+(L62))+(L63))+(L64))+(L65))+(L66)</f>
        <v>17703.080000000002</v>
      </c>
      <c r="M67" s="6">
        <f>(((((((((((((((M51)+(M52))+(M53))+(M54))+(M55))+(M56))+(M57))+(M58))+(M59))+(M60))+(M61))+(M62))+(M63))+(M64))+(M65))+(M66)</f>
        <v>4824.54</v>
      </c>
      <c r="N67" s="6">
        <f>(((((((((((B67)+(C67))+(D67))+(E67))+(F67))+(G67))+(H67))+(I67))+(J67))+(K67))+(L67))+(M67)</f>
        <v>66299.89</v>
      </c>
    </row>
    <row r="68" spans="1:14" x14ac:dyDescent="0.3">
      <c r="A68" s="3" t="s">
        <v>47</v>
      </c>
      <c r="B68" s="6">
        <f>(B49)-(B67)</f>
        <v>-13699.56</v>
      </c>
      <c r="C68" s="6">
        <f>(C49)-(C67)</f>
        <v>-29860.13</v>
      </c>
      <c r="D68" s="6">
        <f>(D49)-(D67)</f>
        <v>-26486.21</v>
      </c>
      <c r="E68" s="6">
        <f>(E49)-(E67)</f>
        <v>-53026.320000000007</v>
      </c>
      <c r="F68" s="6">
        <f>(F49)-(F67)</f>
        <v>-38198.17</v>
      </c>
      <c r="G68" s="6">
        <f>(G49)-(G67)</f>
        <v>-37307.47</v>
      </c>
      <c r="H68" s="6">
        <f>(H49)-(H67)</f>
        <v>-32232.750000000004</v>
      </c>
      <c r="I68" s="6">
        <f>(I49)-(I67)</f>
        <v>-11700.619999999999</v>
      </c>
      <c r="J68" s="6">
        <f>(J49)-(J67)</f>
        <v>-13760.309999999998</v>
      </c>
      <c r="K68" s="6">
        <f>(K49)-(K67)</f>
        <v>322270.13999999996</v>
      </c>
      <c r="L68" s="6">
        <f>(L49)-(L67)</f>
        <v>-60603.729999999996</v>
      </c>
      <c r="M68" s="6">
        <f>(M49)-(M67)</f>
        <v>-31278.09</v>
      </c>
      <c r="N68" s="6">
        <f>(((((((((((B68)+(C68))+(D68))+(E68))+(F68))+(G68))+(H68))+(I68))+(J68))+(K68))+(L68))+(M68)</f>
        <v>-25883.220000000048</v>
      </c>
    </row>
    <row r="69" spans="1:14" x14ac:dyDescent="0.3">
      <c r="A69" s="3" t="s">
        <v>62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3">
      <c r="A70" s="3" t="s">
        <v>61</v>
      </c>
      <c r="B70" s="4"/>
      <c r="C70" s="4"/>
      <c r="D70" s="4"/>
      <c r="E70" s="4"/>
      <c r="F70" s="4"/>
      <c r="G70" s="5">
        <f>363.53</f>
        <v>363.53</v>
      </c>
      <c r="H70" s="4"/>
      <c r="I70" s="4"/>
      <c r="J70" s="4"/>
      <c r="K70" s="4"/>
      <c r="L70" s="4"/>
      <c r="M70" s="4"/>
      <c r="N70" s="5">
        <f>(((((((((((B70)+(C70))+(D70))+(E70))+(F70))+(G70))+(H70))+(I70))+(J70))+(K70))+(L70))+(M70)</f>
        <v>363.53</v>
      </c>
    </row>
    <row r="71" spans="1:14" x14ac:dyDescent="0.3">
      <c r="A71" s="3" t="s">
        <v>60</v>
      </c>
      <c r="B71" s="6">
        <f>B70</f>
        <v>0</v>
      </c>
      <c r="C71" s="6">
        <f>C70</f>
        <v>0</v>
      </c>
      <c r="D71" s="6">
        <f>D70</f>
        <v>0</v>
      </c>
      <c r="E71" s="6">
        <f>E70</f>
        <v>0</v>
      </c>
      <c r="F71" s="6">
        <f>F70</f>
        <v>0</v>
      </c>
      <c r="G71" s="6">
        <f>G70</f>
        <v>363.53</v>
      </c>
      <c r="H71" s="6">
        <f>H70</f>
        <v>0</v>
      </c>
      <c r="I71" s="6">
        <f>I70</f>
        <v>0</v>
      </c>
      <c r="J71" s="6">
        <f>J70</f>
        <v>0</v>
      </c>
      <c r="K71" s="6">
        <f>K70</f>
        <v>0</v>
      </c>
      <c r="L71" s="6">
        <f>L70</f>
        <v>0</v>
      </c>
      <c r="M71" s="6">
        <f>M70</f>
        <v>0</v>
      </c>
      <c r="N71" s="6">
        <f>(((((((((((B71)+(C71))+(D71))+(E71))+(F71))+(G71))+(H71))+(I71))+(J71))+(K71))+(L71))+(M71)</f>
        <v>363.53</v>
      </c>
    </row>
    <row r="72" spans="1:14" x14ac:dyDescent="0.3">
      <c r="A72" s="3" t="s">
        <v>48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x14ac:dyDescent="0.3">
      <c r="A73" s="3" t="s">
        <v>49</v>
      </c>
      <c r="B73" s="5">
        <f>12</f>
        <v>12</v>
      </c>
      <c r="C73" s="5">
        <f>12</f>
        <v>12</v>
      </c>
      <c r="D73" s="5">
        <f>12</f>
        <v>12</v>
      </c>
      <c r="E73" s="5">
        <f>12</f>
        <v>12</v>
      </c>
      <c r="F73" s="5">
        <f>12</f>
        <v>12</v>
      </c>
      <c r="G73" s="5">
        <f>12</f>
        <v>12</v>
      </c>
      <c r="H73" s="5">
        <f>12</f>
        <v>12</v>
      </c>
      <c r="I73" s="5">
        <f>12</f>
        <v>12</v>
      </c>
      <c r="J73" s="5">
        <f>12</f>
        <v>12</v>
      </c>
      <c r="K73" s="5">
        <f>12</f>
        <v>12</v>
      </c>
      <c r="L73" s="5">
        <f>12</f>
        <v>12</v>
      </c>
      <c r="M73" s="5">
        <f>12</f>
        <v>12</v>
      </c>
      <c r="N73" s="5">
        <f>(((((((((((B73)+(C73))+(D73))+(E73))+(F73))+(G73))+(H73))+(I73))+(J73))+(K73))+(L73))+(M73)</f>
        <v>144</v>
      </c>
    </row>
    <row r="74" spans="1:14" x14ac:dyDescent="0.3">
      <c r="A74" s="3" t="s">
        <v>50</v>
      </c>
      <c r="B74" s="5">
        <f>3600</f>
        <v>3600</v>
      </c>
      <c r="C74" s="5">
        <f>3600</f>
        <v>3600</v>
      </c>
      <c r="D74" s="5">
        <f>3600</f>
        <v>3600</v>
      </c>
      <c r="E74" s="5">
        <f>3600</f>
        <v>3600</v>
      </c>
      <c r="F74" s="5">
        <f>3600</f>
        <v>3600</v>
      </c>
      <c r="G74" s="5">
        <f>3600</f>
        <v>3600</v>
      </c>
      <c r="H74" s="5">
        <f>3600</f>
        <v>3600</v>
      </c>
      <c r="I74" s="5">
        <f>3600</f>
        <v>3600</v>
      </c>
      <c r="J74" s="5">
        <f>3600</f>
        <v>3600</v>
      </c>
      <c r="K74" s="5">
        <f>3600</f>
        <v>3600</v>
      </c>
      <c r="L74" s="5">
        <f>3600</f>
        <v>3600</v>
      </c>
      <c r="M74" s="5">
        <f>3600</f>
        <v>3600</v>
      </c>
      <c r="N74" s="5">
        <f>(((((((((((B74)+(C74))+(D74))+(E74))+(F74))+(G74))+(H74))+(I74))+(J74))+(K74))+(L74))+(M74)</f>
        <v>43200</v>
      </c>
    </row>
    <row r="75" spans="1:14" x14ac:dyDescent="0.3">
      <c r="A75" s="3" t="s">
        <v>51</v>
      </c>
      <c r="B75" s="5">
        <f>1548.25</f>
        <v>1548.25</v>
      </c>
      <c r="C75" s="5">
        <f>1493.95</f>
        <v>1493.95</v>
      </c>
      <c r="D75" s="5">
        <f>1538.82</f>
        <v>1538.82</v>
      </c>
      <c r="E75" s="5">
        <f>1484.91</f>
        <v>1484.91</v>
      </c>
      <c r="F75" s="5">
        <f>1529.6</f>
        <v>1529.6</v>
      </c>
      <c r="G75" s="5">
        <f>1524.7</f>
        <v>1524.7</v>
      </c>
      <c r="H75" s="5">
        <f>1471.31</f>
        <v>1471.31</v>
      </c>
      <c r="I75" s="5">
        <f>1515.49</f>
        <v>1515.49</v>
      </c>
      <c r="J75" s="5">
        <f>2766.53</f>
        <v>2766.53</v>
      </c>
      <c r="K75" s="5">
        <f>1505.91</f>
        <v>1505.91</v>
      </c>
      <c r="L75" s="5">
        <f>1501.06</f>
        <v>1501.06</v>
      </c>
      <c r="M75" s="5">
        <f>1351.62</f>
        <v>1351.62</v>
      </c>
      <c r="N75" s="5">
        <f>(((((((((((B75)+(C75))+(D75))+(E75))+(F75))+(G75))+(H75))+(I75))+(J75))+(K75))+(L75))+(M75)</f>
        <v>19232.149999999998</v>
      </c>
    </row>
    <row r="76" spans="1:14" x14ac:dyDescent="0.3">
      <c r="A76" s="3" t="s">
        <v>59</v>
      </c>
      <c r="B76" s="4"/>
      <c r="C76" s="4"/>
      <c r="D76" s="4"/>
      <c r="E76" s="4"/>
      <c r="F76" s="4"/>
      <c r="G76" s="4"/>
      <c r="H76" s="4"/>
      <c r="I76" s="4"/>
      <c r="J76" s="5">
        <f>10</f>
        <v>10</v>
      </c>
      <c r="K76" s="4"/>
      <c r="L76" s="4"/>
      <c r="M76" s="4"/>
      <c r="N76" s="5">
        <f>(((((((((((B76)+(C76))+(D76))+(E76))+(F76))+(G76))+(H76))+(I76))+(J76))+(K76))+(L76))+(M76)</f>
        <v>10</v>
      </c>
    </row>
    <row r="77" spans="1:14" x14ac:dyDescent="0.3">
      <c r="A77" s="3" t="s">
        <v>52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5">
        <f>906</f>
        <v>906</v>
      </c>
      <c r="N77" s="5">
        <f>(((((((((((B77)+(C77))+(D77))+(E77))+(F77))+(G77))+(H77))+(I77))+(J77))+(K77))+(L77))+(M77)</f>
        <v>906</v>
      </c>
    </row>
    <row r="78" spans="1:14" x14ac:dyDescent="0.3">
      <c r="A78" s="3" t="s">
        <v>53</v>
      </c>
      <c r="B78" s="6">
        <f>((((B73)+(B74))+(B75))+(B76))+(B77)</f>
        <v>5160.25</v>
      </c>
      <c r="C78" s="6">
        <f>((((C73)+(C74))+(C75))+(C76))+(C77)</f>
        <v>5105.95</v>
      </c>
      <c r="D78" s="6">
        <f>((((D73)+(D74))+(D75))+(D76))+(D77)</f>
        <v>5150.82</v>
      </c>
      <c r="E78" s="6">
        <f>((((E73)+(E74))+(E75))+(E76))+(E77)</f>
        <v>5096.91</v>
      </c>
      <c r="F78" s="6">
        <f>((((F73)+(F74))+(F75))+(F76))+(F77)</f>
        <v>5141.6000000000004</v>
      </c>
      <c r="G78" s="6">
        <f>((((G73)+(G74))+(G75))+(G76))+(G77)</f>
        <v>5136.7</v>
      </c>
      <c r="H78" s="6">
        <f>((((H73)+(H74))+(H75))+(H76))+(H77)</f>
        <v>5083.3099999999995</v>
      </c>
      <c r="I78" s="6">
        <f>((((I73)+(I74))+(I75))+(I76))+(I77)</f>
        <v>5127.49</v>
      </c>
      <c r="J78" s="6">
        <f>((((J73)+(J74))+(J75))+(J76))+(J77)</f>
        <v>6388.5300000000007</v>
      </c>
      <c r="K78" s="6">
        <f>((((K73)+(K74))+(K75))+(K76))+(K77)</f>
        <v>5117.91</v>
      </c>
      <c r="L78" s="6">
        <f>((((L73)+(L74))+(L75))+(L76))+(L77)</f>
        <v>5113.0599999999995</v>
      </c>
      <c r="M78" s="6">
        <f>((((M73)+(M74))+(M75))+(M76))+(M77)</f>
        <v>5869.62</v>
      </c>
      <c r="N78" s="6">
        <f>(((((((((((B78)+(C78))+(D78))+(E78))+(F78))+(G78))+(H78))+(I78))+(J78))+(K78))+(L78))+(M78)</f>
        <v>63492.15</v>
      </c>
    </row>
    <row r="79" spans="1:14" x14ac:dyDescent="0.3">
      <c r="A79" s="3" t="s">
        <v>54</v>
      </c>
      <c r="B79" s="6">
        <f>(B71)-(B78)</f>
        <v>-5160.25</v>
      </c>
      <c r="C79" s="6">
        <f>(C71)-(C78)</f>
        <v>-5105.95</v>
      </c>
      <c r="D79" s="6">
        <f>(D71)-(D78)</f>
        <v>-5150.82</v>
      </c>
      <c r="E79" s="6">
        <f>(E71)-(E78)</f>
        <v>-5096.91</v>
      </c>
      <c r="F79" s="6">
        <f>(F71)-(F78)</f>
        <v>-5141.6000000000004</v>
      </c>
      <c r="G79" s="6">
        <f>(G71)-(G78)</f>
        <v>-4773.17</v>
      </c>
      <c r="H79" s="6">
        <f>(H71)-(H78)</f>
        <v>-5083.3099999999995</v>
      </c>
      <c r="I79" s="6">
        <f>(I71)-(I78)</f>
        <v>-5127.49</v>
      </c>
      <c r="J79" s="6">
        <f>(J71)-(J78)</f>
        <v>-6388.5300000000007</v>
      </c>
      <c r="K79" s="6">
        <f>(K71)-(K78)</f>
        <v>-5117.91</v>
      </c>
      <c r="L79" s="6">
        <f>(L71)-(L78)</f>
        <v>-5113.0599999999995</v>
      </c>
      <c r="M79" s="6">
        <f>(M71)-(M78)</f>
        <v>-5869.62</v>
      </c>
      <c r="N79" s="6">
        <f>(((((((((((B79)+(C79))+(D79))+(E79))+(F79))+(G79))+(H79))+(I79))+(J79))+(K79))+(L79))+(M79)</f>
        <v>-63128.619999999988</v>
      </c>
    </row>
    <row r="80" spans="1:14" x14ac:dyDescent="0.3">
      <c r="A80" s="3" t="s">
        <v>55</v>
      </c>
      <c r="B80" s="6">
        <f>(B68)+(B79)</f>
        <v>-18859.809999999998</v>
      </c>
      <c r="C80" s="6">
        <f>(C68)+(C79)</f>
        <v>-34966.080000000002</v>
      </c>
      <c r="D80" s="6">
        <f>(D68)+(D79)</f>
        <v>-31637.03</v>
      </c>
      <c r="E80" s="6">
        <f>(E68)+(E79)</f>
        <v>-58123.23000000001</v>
      </c>
      <c r="F80" s="6">
        <f>(F68)+(F79)</f>
        <v>-43339.77</v>
      </c>
      <c r="G80" s="6">
        <f>(G68)+(G79)</f>
        <v>-42080.639999999999</v>
      </c>
      <c r="H80" s="6">
        <f>(H68)+(H79)</f>
        <v>-37316.060000000005</v>
      </c>
      <c r="I80" s="6">
        <f>(I68)+(I79)</f>
        <v>-16828.11</v>
      </c>
      <c r="J80" s="6">
        <f>(J68)+(J79)</f>
        <v>-20148.839999999997</v>
      </c>
      <c r="K80" s="6">
        <f>(K68)+(K79)</f>
        <v>317152.23</v>
      </c>
      <c r="L80" s="6">
        <f>(L68)+(L79)</f>
        <v>-65716.789999999994</v>
      </c>
      <c r="M80" s="6">
        <f>(M68)+(M79)</f>
        <v>-37147.71</v>
      </c>
      <c r="N80" s="6">
        <f>(((((((((((B80)+(C80))+(D80))+(E80))+(F80))+(G80))+(H80))+(I80))+(J80))+(K80))+(L80))+(M80)</f>
        <v>-89011.839999999967</v>
      </c>
    </row>
    <row r="81" spans="1:14" x14ac:dyDescent="0.3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4" spans="1:14" x14ac:dyDescent="0.3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</sheetData>
  <mergeCells count="4">
    <mergeCell ref="A84:N84"/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B375-EC7D-43C9-8099-33ECDC60BD99}">
  <dimension ref="A1:D54"/>
  <sheetViews>
    <sheetView topLeftCell="A21" workbookViewId="0">
      <selection activeCell="A56" sqref="A56"/>
    </sheetView>
  </sheetViews>
  <sheetFormatPr defaultRowHeight="14.4" x14ac:dyDescent="0.3"/>
  <cols>
    <col min="1" max="1" width="30.88671875" customWidth="1"/>
    <col min="2" max="4" width="15.44140625" customWidth="1"/>
  </cols>
  <sheetData>
    <row r="1" spans="1:4" ht="17.399999999999999" x14ac:dyDescent="0.3">
      <c r="A1" s="9" t="s">
        <v>56</v>
      </c>
      <c r="B1" s="8"/>
      <c r="C1" s="8"/>
      <c r="D1" s="8"/>
    </row>
    <row r="2" spans="1:4" ht="17.399999999999999" x14ac:dyDescent="0.3">
      <c r="A2" s="9" t="s">
        <v>143</v>
      </c>
      <c r="B2" s="8"/>
      <c r="C2" s="8"/>
      <c r="D2" s="8"/>
    </row>
    <row r="3" spans="1:4" x14ac:dyDescent="0.3">
      <c r="A3" s="10" t="s">
        <v>142</v>
      </c>
      <c r="B3" s="8"/>
      <c r="C3" s="8"/>
      <c r="D3" s="8"/>
    </row>
    <row r="5" spans="1:4" x14ac:dyDescent="0.3">
      <c r="A5" s="1"/>
      <c r="B5" s="12" t="s">
        <v>3</v>
      </c>
      <c r="C5" s="11"/>
      <c r="D5" s="11"/>
    </row>
    <row r="6" spans="1:4" ht="24.6" x14ac:dyDescent="0.3">
      <c r="A6" s="1"/>
      <c r="B6" s="2" t="s">
        <v>141</v>
      </c>
      <c r="C6" s="13" t="s">
        <v>140</v>
      </c>
      <c r="D6" s="13" t="s">
        <v>139</v>
      </c>
    </row>
    <row r="7" spans="1:4" x14ac:dyDescent="0.3">
      <c r="A7" s="3" t="s">
        <v>138</v>
      </c>
      <c r="B7" s="4"/>
      <c r="C7" s="4"/>
      <c r="D7" s="4"/>
    </row>
    <row r="8" spans="1:4" x14ac:dyDescent="0.3">
      <c r="A8" s="3" t="s">
        <v>137</v>
      </c>
      <c r="B8" s="4"/>
      <c r="C8" s="4"/>
      <c r="D8" s="4"/>
    </row>
    <row r="9" spans="1:4" x14ac:dyDescent="0.3">
      <c r="A9" s="3" t="s">
        <v>136</v>
      </c>
      <c r="B9" s="4"/>
      <c r="C9" s="4"/>
      <c r="D9" s="4"/>
    </row>
    <row r="10" spans="1:4" x14ac:dyDescent="0.3">
      <c r="A10" s="3" t="s">
        <v>135</v>
      </c>
      <c r="B10" s="5">
        <f>57827.05</f>
        <v>57827.05</v>
      </c>
      <c r="C10" s="5">
        <f>95537.25</f>
        <v>95537.25</v>
      </c>
      <c r="D10" s="5">
        <f>69549.69</f>
        <v>69549.69</v>
      </c>
    </row>
    <row r="11" spans="1:4" x14ac:dyDescent="0.3">
      <c r="A11" s="3" t="s">
        <v>134</v>
      </c>
      <c r="B11" s="5">
        <f>89600.96</f>
        <v>89600.960000000006</v>
      </c>
      <c r="C11" s="5">
        <f>112997.61</f>
        <v>112997.61</v>
      </c>
      <c r="D11" s="5">
        <f>77986.52</f>
        <v>77986.52</v>
      </c>
    </row>
    <row r="12" spans="1:4" x14ac:dyDescent="0.3">
      <c r="A12" s="3" t="s">
        <v>133</v>
      </c>
      <c r="B12" s="6">
        <f>(B10)+(B11)</f>
        <v>147428.01</v>
      </c>
      <c r="C12" s="6">
        <f>(C10)+(C11)</f>
        <v>208534.86</v>
      </c>
      <c r="D12" s="6">
        <f>(D10)+(D11)</f>
        <v>147536.21000000002</v>
      </c>
    </row>
    <row r="13" spans="1:4" x14ac:dyDescent="0.3">
      <c r="A13" s="3" t="s">
        <v>132</v>
      </c>
      <c r="B13" s="4"/>
      <c r="C13" s="4"/>
      <c r="D13" s="4"/>
    </row>
    <row r="14" spans="1:4" x14ac:dyDescent="0.3">
      <c r="A14" s="3" t="s">
        <v>131</v>
      </c>
      <c r="B14" s="5">
        <f>225588.97</f>
        <v>225588.97</v>
      </c>
      <c r="C14" s="5">
        <f>203086.43</f>
        <v>203086.43</v>
      </c>
      <c r="D14" s="5">
        <f>4869.17</f>
        <v>4869.17</v>
      </c>
    </row>
    <row r="15" spans="1:4" x14ac:dyDescent="0.3">
      <c r="A15" s="3" t="s">
        <v>130</v>
      </c>
      <c r="B15" s="6">
        <f>B14</f>
        <v>225588.97</v>
      </c>
      <c r="C15" s="6">
        <f>C14</f>
        <v>203086.43</v>
      </c>
      <c r="D15" s="6">
        <f>D14</f>
        <v>4869.17</v>
      </c>
    </row>
    <row r="16" spans="1:4" x14ac:dyDescent="0.3">
      <c r="A16" s="3" t="s">
        <v>129</v>
      </c>
      <c r="B16" s="4"/>
      <c r="C16" s="4"/>
      <c r="D16" s="4"/>
    </row>
    <row r="17" spans="1:4" x14ac:dyDescent="0.3">
      <c r="A17" s="3" t="s">
        <v>128</v>
      </c>
      <c r="B17" s="5">
        <f>5250</f>
        <v>5250</v>
      </c>
      <c r="C17" s="5">
        <f>3500</f>
        <v>3500</v>
      </c>
      <c r="D17" s="5">
        <f>5250</f>
        <v>5250</v>
      </c>
    </row>
    <row r="18" spans="1:4" x14ac:dyDescent="0.3">
      <c r="A18" s="3" t="s">
        <v>127</v>
      </c>
      <c r="B18" s="5">
        <f>3448.13</f>
        <v>3448.13</v>
      </c>
      <c r="C18" s="5">
        <f>3448.13</f>
        <v>3448.13</v>
      </c>
      <c r="D18" s="5">
        <f>3448.13</f>
        <v>3448.13</v>
      </c>
    </row>
    <row r="19" spans="1:4" x14ac:dyDescent="0.3">
      <c r="A19" s="3" t="s">
        <v>126</v>
      </c>
      <c r="B19" s="6">
        <f>(B17)+(B18)</f>
        <v>8698.130000000001</v>
      </c>
      <c r="C19" s="6">
        <f>(C17)+(C18)</f>
        <v>6948.13</v>
      </c>
      <c r="D19" s="6">
        <f>(D17)+(D18)</f>
        <v>8698.130000000001</v>
      </c>
    </row>
    <row r="20" spans="1:4" x14ac:dyDescent="0.3">
      <c r="A20" s="3" t="s">
        <v>125</v>
      </c>
      <c r="B20" s="6">
        <f>((B12)+(B15))+(B19)</f>
        <v>381715.11</v>
      </c>
      <c r="C20" s="6">
        <f>((C12)+(C15))+(C19)</f>
        <v>418569.42</v>
      </c>
      <c r="D20" s="6">
        <f>((D12)+(D15))+(D19)</f>
        <v>161103.51000000004</v>
      </c>
    </row>
    <row r="21" spans="1:4" x14ac:dyDescent="0.3">
      <c r="A21" s="3" t="s">
        <v>124</v>
      </c>
      <c r="B21" s="4"/>
      <c r="C21" s="4"/>
      <c r="D21" s="4"/>
    </row>
    <row r="22" spans="1:4" x14ac:dyDescent="0.3">
      <c r="A22" s="3" t="s">
        <v>123</v>
      </c>
      <c r="B22" s="5">
        <f>349591.95</f>
        <v>349591.95</v>
      </c>
      <c r="C22" s="5">
        <f>365591.95</f>
        <v>365591.95</v>
      </c>
      <c r="D22" s="5">
        <f>347591.95</f>
        <v>347591.95</v>
      </c>
    </row>
    <row r="23" spans="1:4" x14ac:dyDescent="0.3">
      <c r="A23" s="3" t="s">
        <v>122</v>
      </c>
      <c r="B23" s="5">
        <f>7792.68</f>
        <v>7792.68</v>
      </c>
      <c r="C23" s="5">
        <f>7864.68</f>
        <v>7864.68</v>
      </c>
      <c r="D23" s="5">
        <f>7810.68</f>
        <v>7810.68</v>
      </c>
    </row>
    <row r="24" spans="1:4" x14ac:dyDescent="0.3">
      <c r="A24" s="3" t="s">
        <v>121</v>
      </c>
      <c r="B24" s="5">
        <f>-7813.87</f>
        <v>-7813.87</v>
      </c>
      <c r="C24" s="5">
        <f>5986.13</f>
        <v>5986.13</v>
      </c>
      <c r="D24" s="5">
        <f>-4363.87</f>
        <v>-4363.87</v>
      </c>
    </row>
    <row r="25" spans="1:4" x14ac:dyDescent="0.3">
      <c r="A25" s="3" t="s">
        <v>120</v>
      </c>
      <c r="B25" s="5">
        <f>811.72</f>
        <v>811.72</v>
      </c>
      <c r="C25" s="5">
        <f>1411.72</f>
        <v>1411.72</v>
      </c>
      <c r="D25" s="5">
        <f>961.72</f>
        <v>961.72</v>
      </c>
    </row>
    <row r="26" spans="1:4" x14ac:dyDescent="0.3">
      <c r="A26" s="3" t="s">
        <v>119</v>
      </c>
      <c r="B26" s="5">
        <f>29037.64</f>
        <v>29037.64</v>
      </c>
      <c r="C26" s="5">
        <f>33837.64</f>
        <v>33837.64</v>
      </c>
      <c r="D26" s="5">
        <f>30237.64</f>
        <v>30237.64</v>
      </c>
    </row>
    <row r="27" spans="1:4" x14ac:dyDescent="0.3">
      <c r="A27" s="3" t="s">
        <v>118</v>
      </c>
      <c r="B27" s="5">
        <f>274.5</f>
        <v>274.5</v>
      </c>
      <c r="C27" s="5">
        <f>346.5</f>
        <v>346.5</v>
      </c>
      <c r="D27" s="5">
        <f>292.5</f>
        <v>292.5</v>
      </c>
    </row>
    <row r="28" spans="1:4" x14ac:dyDescent="0.3">
      <c r="A28" s="3" t="s">
        <v>117</v>
      </c>
      <c r="B28" s="6">
        <f>(((((B22)+(B23))+(B24))+(B25))+(B26))+(B27)</f>
        <v>379694.62</v>
      </c>
      <c r="C28" s="6">
        <f>(((((C22)+(C23))+(C24))+(C25))+(C26))+(C27)</f>
        <v>415038.62</v>
      </c>
      <c r="D28" s="6">
        <f>(((((D22)+(D23))+(D24))+(D25))+(D26))+(D27)</f>
        <v>382530.62</v>
      </c>
    </row>
    <row r="29" spans="1:4" x14ac:dyDescent="0.3">
      <c r="A29" s="3" t="s">
        <v>116</v>
      </c>
      <c r="B29" s="6">
        <f>(B20)+(B28)</f>
        <v>761409.73</v>
      </c>
      <c r="C29" s="6">
        <f>(C20)+(C28)</f>
        <v>833608.04</v>
      </c>
      <c r="D29" s="6">
        <f>(D20)+(D28)</f>
        <v>543634.13</v>
      </c>
    </row>
    <row r="30" spans="1:4" x14ac:dyDescent="0.3">
      <c r="A30" s="3" t="s">
        <v>115</v>
      </c>
      <c r="B30" s="4"/>
      <c r="C30" s="4"/>
      <c r="D30" s="4"/>
    </row>
    <row r="31" spans="1:4" x14ac:dyDescent="0.3">
      <c r="A31" s="3" t="s">
        <v>114</v>
      </c>
      <c r="B31" s="4"/>
      <c r="C31" s="4"/>
      <c r="D31" s="4"/>
    </row>
    <row r="32" spans="1:4" x14ac:dyDescent="0.3">
      <c r="A32" s="3" t="s">
        <v>113</v>
      </c>
      <c r="B32" s="4"/>
      <c r="C32" s="4"/>
      <c r="D32" s="4"/>
    </row>
    <row r="33" spans="1:4" x14ac:dyDescent="0.3">
      <c r="A33" s="3" t="s">
        <v>112</v>
      </c>
      <c r="B33" s="4"/>
      <c r="C33" s="4"/>
      <c r="D33" s="4"/>
    </row>
    <row r="34" spans="1:4" x14ac:dyDescent="0.3">
      <c r="A34" s="3" t="s">
        <v>111</v>
      </c>
      <c r="B34" s="5">
        <f>898.81</f>
        <v>898.81</v>
      </c>
      <c r="C34" s="5">
        <f>963.43</f>
        <v>963.43</v>
      </c>
      <c r="D34" s="5">
        <f>921.28</f>
        <v>921.28</v>
      </c>
    </row>
    <row r="35" spans="1:4" x14ac:dyDescent="0.3">
      <c r="A35" s="3" t="s">
        <v>110</v>
      </c>
      <c r="B35" s="6">
        <f>B34</f>
        <v>898.81</v>
      </c>
      <c r="C35" s="6">
        <f>C34</f>
        <v>963.43</v>
      </c>
      <c r="D35" s="6">
        <f>D34</f>
        <v>921.28</v>
      </c>
    </row>
    <row r="36" spans="1:4" x14ac:dyDescent="0.3">
      <c r="A36" s="3" t="s">
        <v>109</v>
      </c>
      <c r="B36" s="4"/>
      <c r="C36" s="4"/>
      <c r="D36" s="4"/>
    </row>
    <row r="37" spans="1:4" x14ac:dyDescent="0.3">
      <c r="A37" s="3" t="s">
        <v>108</v>
      </c>
      <c r="B37" s="5">
        <f>-4013</f>
        <v>-4013</v>
      </c>
      <c r="C37" s="5">
        <f>0</f>
        <v>0</v>
      </c>
      <c r="D37" s="5">
        <f>0</f>
        <v>0</v>
      </c>
    </row>
    <row r="38" spans="1:4" x14ac:dyDescent="0.3">
      <c r="A38" s="3" t="s">
        <v>107</v>
      </c>
      <c r="B38" s="6">
        <f>B37</f>
        <v>-4013</v>
      </c>
      <c r="C38" s="6">
        <f>C37</f>
        <v>0</v>
      </c>
      <c r="D38" s="6">
        <f>D37</f>
        <v>0</v>
      </c>
    </row>
    <row r="39" spans="1:4" x14ac:dyDescent="0.3">
      <c r="A39" s="3" t="s">
        <v>106</v>
      </c>
      <c r="B39" s="6">
        <f>(B35)+(B38)</f>
        <v>-3114.19</v>
      </c>
      <c r="C39" s="6">
        <f>(C35)+(C38)</f>
        <v>963.43</v>
      </c>
      <c r="D39" s="6">
        <f>(D35)+(D38)</f>
        <v>921.28</v>
      </c>
    </row>
    <row r="40" spans="1:4" x14ac:dyDescent="0.3">
      <c r="A40" s="3" t="s">
        <v>105</v>
      </c>
      <c r="B40" s="4"/>
      <c r="C40" s="4"/>
      <c r="D40" s="4"/>
    </row>
    <row r="41" spans="1:4" x14ac:dyDescent="0.3">
      <c r="A41" s="3" t="s">
        <v>104</v>
      </c>
      <c r="B41" s="5">
        <f>349890.84</f>
        <v>349890.84</v>
      </c>
      <c r="C41" s="5">
        <f>361999.69</f>
        <v>361999.69</v>
      </c>
      <c r="D41" s="5">
        <f>353367.5</f>
        <v>353367.5</v>
      </c>
    </row>
    <row r="42" spans="1:4" x14ac:dyDescent="0.3">
      <c r="A42" s="3" t="s">
        <v>103</v>
      </c>
      <c r="B42" s="6">
        <f>B41</f>
        <v>349890.84</v>
      </c>
      <c r="C42" s="6">
        <f>C41</f>
        <v>361999.69</v>
      </c>
      <c r="D42" s="6">
        <f>D41</f>
        <v>353367.5</v>
      </c>
    </row>
    <row r="43" spans="1:4" x14ac:dyDescent="0.3">
      <c r="A43" s="3" t="s">
        <v>102</v>
      </c>
      <c r="B43" s="6">
        <f>(B39)+(B42)</f>
        <v>346776.65</v>
      </c>
      <c r="C43" s="6">
        <f>(C39)+(C42)</f>
        <v>362963.12</v>
      </c>
      <c r="D43" s="6">
        <f>(D39)+(D42)</f>
        <v>354288.78</v>
      </c>
    </row>
    <row r="44" spans="1:4" x14ac:dyDescent="0.3">
      <c r="A44" s="3" t="s">
        <v>101</v>
      </c>
      <c r="B44" s="4"/>
      <c r="C44" s="4"/>
      <c r="D44" s="4"/>
    </row>
    <row r="45" spans="1:4" x14ac:dyDescent="0.3">
      <c r="A45" s="3" t="s">
        <v>100</v>
      </c>
      <c r="B45" s="5">
        <f>647000</f>
        <v>647000</v>
      </c>
      <c r="C45" s="5">
        <f>614000</f>
        <v>614000</v>
      </c>
      <c r="D45" s="5">
        <f>636000</f>
        <v>636000</v>
      </c>
    </row>
    <row r="46" spans="1:4" x14ac:dyDescent="0.3">
      <c r="A46" s="3" t="s">
        <v>99</v>
      </c>
      <c r="B46" s="5">
        <f>70000</f>
        <v>70000</v>
      </c>
      <c r="C46" s="5">
        <f>70000</f>
        <v>70000</v>
      </c>
      <c r="D46" s="5">
        <f>70000</f>
        <v>70000</v>
      </c>
    </row>
    <row r="47" spans="1:4" x14ac:dyDescent="0.3">
      <c r="A47" s="3" t="s">
        <v>98</v>
      </c>
      <c r="B47" s="5">
        <f>-516654.65</f>
        <v>-516654.65</v>
      </c>
      <c r="C47" s="5">
        <f>-476776.47</f>
        <v>-476776.47</v>
      </c>
      <c r="D47" s="5">
        <f>-516654.65</f>
        <v>-516654.65</v>
      </c>
    </row>
    <row r="48" spans="1:4" x14ac:dyDescent="0.3">
      <c r="A48" s="3" t="s">
        <v>97</v>
      </c>
      <c r="B48" s="5">
        <f>214287.73</f>
        <v>214287.73</v>
      </c>
      <c r="C48" s="5">
        <f>263421.39</f>
        <v>263421.39</v>
      </c>
      <c r="D48" s="4"/>
    </row>
    <row r="49" spans="1:4" x14ac:dyDescent="0.3">
      <c r="A49" s="3" t="s">
        <v>96</v>
      </c>
      <c r="B49" s="6">
        <f>(((B45)+(B46))+(B47))+(B48)</f>
        <v>414633.07999999996</v>
      </c>
      <c r="C49" s="6">
        <f>(((C45)+(C46))+(C47))+(C48)</f>
        <v>470644.92000000004</v>
      </c>
      <c r="D49" s="6">
        <f>(((D45)+(D46))+(D47))+(D48)</f>
        <v>189345.34999999998</v>
      </c>
    </row>
    <row r="50" spans="1:4" x14ac:dyDescent="0.3">
      <c r="A50" s="3" t="s">
        <v>95</v>
      </c>
      <c r="B50" s="6">
        <f>(B43)+(B49)</f>
        <v>761409.73</v>
      </c>
      <c r="C50" s="6">
        <f>(C43)+(C49)</f>
        <v>833608.04</v>
      </c>
      <c r="D50" s="6">
        <f>(D43)+(D49)</f>
        <v>543634.13</v>
      </c>
    </row>
    <row r="51" spans="1:4" x14ac:dyDescent="0.3">
      <c r="A51" s="3"/>
      <c r="B51" s="4"/>
      <c r="C51" s="4"/>
      <c r="D51" s="4"/>
    </row>
    <row r="54" spans="1:4" x14ac:dyDescent="0.3">
      <c r="A54" s="7"/>
      <c r="B54" s="8"/>
      <c r="C54" s="8"/>
      <c r="D54" s="8"/>
    </row>
  </sheetData>
  <mergeCells count="5">
    <mergeCell ref="B5:D5"/>
    <mergeCell ref="A54:D54"/>
    <mergeCell ref="A1:D1"/>
    <mergeCell ref="A2:D2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2CC8-8E36-4320-BFC9-D84695F8D053}">
  <dimension ref="A1:B34"/>
  <sheetViews>
    <sheetView tabSelected="1" workbookViewId="0">
      <selection activeCell="H27" sqref="H27"/>
    </sheetView>
  </sheetViews>
  <sheetFormatPr defaultRowHeight="14.4" x14ac:dyDescent="0.3"/>
  <cols>
    <col min="1" max="1" width="69.5546875" customWidth="1"/>
    <col min="2" max="2" width="20.44140625" customWidth="1"/>
  </cols>
  <sheetData>
    <row r="1" spans="1:2" ht="17.399999999999999" x14ac:dyDescent="0.3">
      <c r="A1" s="9" t="s">
        <v>56</v>
      </c>
      <c r="B1" s="8"/>
    </row>
    <row r="2" spans="1:2" ht="17.399999999999999" x14ac:dyDescent="0.3">
      <c r="A2" s="9" t="s">
        <v>168</v>
      </c>
      <c r="B2" s="8"/>
    </row>
    <row r="3" spans="1:2" x14ac:dyDescent="0.3">
      <c r="A3" s="10" t="s">
        <v>58</v>
      </c>
      <c r="B3" s="8"/>
    </row>
    <row r="5" spans="1:2" x14ac:dyDescent="0.3">
      <c r="A5" s="1"/>
      <c r="B5" s="2" t="s">
        <v>3</v>
      </c>
    </row>
    <row r="6" spans="1:2" x14ac:dyDescent="0.3">
      <c r="A6" s="3" t="s">
        <v>167</v>
      </c>
      <c r="B6" s="4"/>
    </row>
    <row r="7" spans="1:2" x14ac:dyDescent="0.3">
      <c r="A7" s="3" t="s">
        <v>166</v>
      </c>
      <c r="B7" s="5">
        <f>214287.73</f>
        <v>214287.73</v>
      </c>
    </row>
    <row r="8" spans="1:2" x14ac:dyDescent="0.3">
      <c r="A8" s="3" t="s">
        <v>165</v>
      </c>
      <c r="B8" s="4"/>
    </row>
    <row r="9" spans="1:2" x14ac:dyDescent="0.3">
      <c r="A9" s="3" t="s">
        <v>132</v>
      </c>
      <c r="B9" s="5">
        <f>-220719.8</f>
        <v>-220719.8</v>
      </c>
    </row>
    <row r="10" spans="1:2" x14ac:dyDescent="0.3">
      <c r="A10" s="3" t="s">
        <v>164</v>
      </c>
      <c r="B10" s="5">
        <f>300</f>
        <v>300</v>
      </c>
    </row>
    <row r="11" spans="1:2" x14ac:dyDescent="0.3">
      <c r="A11" s="3" t="s">
        <v>163</v>
      </c>
      <c r="B11" s="5">
        <f>5700</f>
        <v>5700</v>
      </c>
    </row>
    <row r="12" spans="1:2" x14ac:dyDescent="0.3">
      <c r="A12" s="3" t="s">
        <v>162</v>
      </c>
      <c r="B12" s="5">
        <f>3450</f>
        <v>3450</v>
      </c>
    </row>
    <row r="13" spans="1:2" x14ac:dyDescent="0.3">
      <c r="A13" s="3" t="s">
        <v>161</v>
      </c>
      <c r="B13" s="5">
        <f>150</f>
        <v>150</v>
      </c>
    </row>
    <row r="14" spans="1:2" x14ac:dyDescent="0.3">
      <c r="A14" s="3" t="s">
        <v>160</v>
      </c>
      <c r="B14" s="5">
        <f>1200</f>
        <v>1200</v>
      </c>
    </row>
    <row r="15" spans="1:2" x14ac:dyDescent="0.3">
      <c r="A15" s="3" t="s">
        <v>159</v>
      </c>
      <c r="B15" s="5">
        <f>18</f>
        <v>18</v>
      </c>
    </row>
    <row r="16" spans="1:2" x14ac:dyDescent="0.3">
      <c r="A16" s="3" t="s">
        <v>158</v>
      </c>
      <c r="B16" s="5">
        <f>-22.47</f>
        <v>-22.47</v>
      </c>
    </row>
    <row r="17" spans="1:2" x14ac:dyDescent="0.3">
      <c r="A17" s="3" t="s">
        <v>157</v>
      </c>
      <c r="B17" s="5">
        <f>-4013</f>
        <v>-4013</v>
      </c>
    </row>
    <row r="18" spans="1:2" x14ac:dyDescent="0.3">
      <c r="A18" s="3" t="s">
        <v>156</v>
      </c>
      <c r="B18" s="6">
        <f>(((((((((B8)+(B9))+(B10))+(B11))+(B12))+(B13))+(B14))+(B15))+(B16))+(B17)</f>
        <v>-213937.27</v>
      </c>
    </row>
    <row r="19" spans="1:2" x14ac:dyDescent="0.3">
      <c r="A19" s="3" t="s">
        <v>155</v>
      </c>
      <c r="B19" s="6">
        <f>(B7)+(B18)</f>
        <v>350.46000000002095</v>
      </c>
    </row>
    <row r="20" spans="1:2" x14ac:dyDescent="0.3">
      <c r="A20" s="3" t="s">
        <v>154</v>
      </c>
      <c r="B20" s="4"/>
    </row>
    <row r="21" spans="1:2" x14ac:dyDescent="0.3">
      <c r="A21" s="3" t="s">
        <v>153</v>
      </c>
      <c r="B21" s="5">
        <f>-8000</f>
        <v>-8000</v>
      </c>
    </row>
    <row r="22" spans="1:2" x14ac:dyDescent="0.3">
      <c r="A22" s="3" t="s">
        <v>152</v>
      </c>
      <c r="B22" s="5">
        <f>18</f>
        <v>18</v>
      </c>
    </row>
    <row r="23" spans="1:2" x14ac:dyDescent="0.3">
      <c r="A23" s="3" t="s">
        <v>151</v>
      </c>
      <c r="B23" s="6">
        <f>(B21)+(B22)</f>
        <v>-7982</v>
      </c>
    </row>
    <row r="24" spans="1:2" x14ac:dyDescent="0.3">
      <c r="A24" s="3" t="s">
        <v>150</v>
      </c>
      <c r="B24" s="4"/>
    </row>
    <row r="25" spans="1:2" x14ac:dyDescent="0.3">
      <c r="A25" s="3" t="s">
        <v>149</v>
      </c>
      <c r="B25" s="5">
        <f>-3476.66</f>
        <v>-3476.66</v>
      </c>
    </row>
    <row r="26" spans="1:2" x14ac:dyDescent="0.3">
      <c r="A26" s="3" t="s">
        <v>148</v>
      </c>
      <c r="B26" s="5">
        <f>11000</f>
        <v>11000</v>
      </c>
    </row>
    <row r="27" spans="1:2" x14ac:dyDescent="0.3">
      <c r="A27" s="3" t="s">
        <v>147</v>
      </c>
      <c r="B27" s="6">
        <f>(B25)+(B26)</f>
        <v>7523.34</v>
      </c>
    </row>
    <row r="28" spans="1:2" x14ac:dyDescent="0.3">
      <c r="A28" s="3" t="s">
        <v>146</v>
      </c>
      <c r="B28" s="6">
        <f>((B19)+(B23))+(B27)</f>
        <v>-108.1999999999789</v>
      </c>
    </row>
    <row r="29" spans="1:2" x14ac:dyDescent="0.3">
      <c r="A29" s="3" t="s">
        <v>145</v>
      </c>
      <c r="B29" s="5">
        <f>147536.21</f>
        <v>147536.21</v>
      </c>
    </row>
    <row r="30" spans="1:2" x14ac:dyDescent="0.3">
      <c r="A30" s="3" t="s">
        <v>144</v>
      </c>
      <c r="B30" s="6">
        <f>(B28)+(B29)</f>
        <v>147428.01</v>
      </c>
    </row>
    <row r="31" spans="1:2" x14ac:dyDescent="0.3">
      <c r="A31" s="3"/>
      <c r="B31" s="4"/>
    </row>
    <row r="34" spans="1:2" x14ac:dyDescent="0.3">
      <c r="A34" s="7"/>
      <c r="B34" s="8"/>
    </row>
  </sheetData>
  <mergeCells count="4">
    <mergeCell ref="A34:B34"/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Profit and Loss </vt:lpstr>
      <vt:lpstr>Profit and Loss 12mnth rolling</vt:lpstr>
      <vt:lpstr>Balance Sheet</vt:lpstr>
      <vt:lpstr>Statement of Cash Flows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Ross</cp:lastModifiedBy>
  <dcterms:created xsi:type="dcterms:W3CDTF">2026-06-13T20:01:40Z</dcterms:created>
  <dcterms:modified xsi:type="dcterms:W3CDTF">2026-06-13T20:09:54Z</dcterms:modified>
</cp:coreProperties>
</file>